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60" windowWidth="20340" windowHeight="8385"/>
  </bookViews>
  <sheets>
    <sheet name="Assump" sheetId="12" r:id="rId1"/>
    <sheet name="Calc" sheetId="1" r:id="rId2"/>
    <sheet name="Bk" sheetId="3" state="hidden" r:id="rId3"/>
    <sheet name="Misc" sheetId="4" r:id="rId4"/>
    <sheet name="Sheet1" sheetId="22" r:id="rId5"/>
    <sheet name="Chart5" sheetId="19" r:id="rId6"/>
    <sheet name="Chart2" sheetId="20" r:id="rId7"/>
    <sheet name="Chart4" sheetId="18" r:id="rId8"/>
    <sheet name="CostAllocationExample" sheetId="15" r:id="rId9"/>
    <sheet name="GenUnits" sheetId="14" r:id="rId10"/>
  </sheets>
  <definedNames>
    <definedName name="AC_CE">Assump!$D$15</definedName>
    <definedName name="AC_CE_TL">#REF!</definedName>
    <definedName name="BkName">Bk!$B$1</definedName>
    <definedName name="ChosenOff">#REF!</definedName>
    <definedName name="ChosenVal">#REF!</definedName>
    <definedName name="DeMinimis">GenUnits!$T$3</definedName>
    <definedName name="Extra_DC">Assump!$D$2</definedName>
    <definedName name="Extra_DC_TL">#REF!</definedName>
    <definedName name="HVDC_IR_limit">CostAllocationExample!#REF!</definedName>
    <definedName name="HVDC_IR_transfer_cap">Assump!$D$11</definedName>
    <definedName name="HVDC_Received_Max">Assump!$L$12</definedName>
    <definedName name="LargeThermal_Flag">CostAllocationExample!$C$2</definedName>
    <definedName name="ModulationRisk">Assump!$D$13</definedName>
    <definedName name="NI_demand">Assump!$L$7</definedName>
    <definedName name="NI_Demand_TL">#REF!</definedName>
    <definedName name="NI_IL">Assump!$D$16</definedName>
    <definedName name="NI_IL_TL">#REF!</definedName>
    <definedName name="Pole2_limit">Assump!$D$12</definedName>
    <definedName name="Pro_Or_Run">CostAllocationExample!$BS$2</definedName>
    <definedName name="Res_TL">#REF!</definedName>
    <definedName name="ResArray_In">#REF!</definedName>
    <definedName name="ResArray_Out">Assump!$L$15:$M$15</definedName>
    <definedName name="RunwayAlloc_TL_National">GenUnits!$BE$42</definedName>
    <definedName name="RunwayAlloc_TL_WithinIsland">GenUnits!$BK$42</definedName>
    <definedName name="Tiwai">Assump!$N$4</definedName>
    <definedName name="Tiwai_TL">#REF!</definedName>
  </definedNames>
  <calcPr calcId="145621"/>
</workbook>
</file>

<file path=xl/calcChain.xml><?xml version="1.0" encoding="utf-8"?>
<calcChain xmlns="http://schemas.openxmlformats.org/spreadsheetml/2006/main">
  <c r="BP71" i="15" l="1"/>
  <c r="BP70" i="15"/>
  <c r="BP69" i="15"/>
  <c r="BP68" i="15"/>
  <c r="BP67" i="15"/>
  <c r="BP63" i="15"/>
  <c r="BP62" i="15"/>
  <c r="BP61" i="15"/>
  <c r="BP60" i="15"/>
  <c r="BP59" i="15"/>
  <c r="BP9" i="15"/>
  <c r="BP10" i="15"/>
  <c r="BP11" i="15"/>
  <c r="BP12" i="15"/>
  <c r="BP13" i="15"/>
  <c r="BP14" i="15"/>
  <c r="BP15" i="15"/>
  <c r="BP16" i="15"/>
  <c r="BP17" i="15"/>
  <c r="BP18" i="15"/>
  <c r="BP19" i="15"/>
  <c r="BP20" i="15"/>
  <c r="BP21" i="15"/>
  <c r="BP22" i="15"/>
  <c r="BP23" i="15"/>
  <c r="BP24" i="15"/>
  <c r="BP25" i="15"/>
  <c r="BP26" i="15"/>
  <c r="BP27" i="15"/>
  <c r="BP28" i="15"/>
  <c r="BP29" i="15"/>
  <c r="BP30" i="15"/>
  <c r="BP31" i="15"/>
  <c r="BP32" i="15"/>
  <c r="BP33" i="15"/>
  <c r="BP34" i="15"/>
  <c r="BP35" i="15"/>
  <c r="BP36" i="15"/>
  <c r="BP37" i="15"/>
  <c r="BP38" i="15"/>
  <c r="BP39" i="15"/>
  <c r="BP40" i="15"/>
  <c r="BP41" i="15"/>
  <c r="BP42" i="15"/>
  <c r="BP43" i="15"/>
  <c r="BP44" i="15"/>
  <c r="BP45" i="15"/>
  <c r="BP46" i="15"/>
  <c r="BP47" i="15"/>
  <c r="BP48" i="15"/>
  <c r="BP49" i="15"/>
  <c r="BP50" i="15"/>
  <c r="BP51" i="15"/>
  <c r="BP52" i="15"/>
  <c r="BP53" i="15"/>
  <c r="BP54" i="15"/>
  <c r="BP55" i="15"/>
  <c r="BP8" i="15"/>
  <c r="BE44" i="14"/>
  <c r="BF44" i="14"/>
  <c r="BG44" i="14"/>
  <c r="BH44" i="14"/>
  <c r="BI44" i="14"/>
  <c r="BJ44" i="14"/>
  <c r="BK44" i="14"/>
  <c r="BM44" i="14"/>
  <c r="BN44" i="14"/>
  <c r="BP44" i="14"/>
  <c r="BE45" i="14"/>
  <c r="BF45" i="14"/>
  <c r="BG45" i="14"/>
  <c r="BH45" i="14"/>
  <c r="BI45" i="14"/>
  <c r="BJ45" i="14"/>
  <c r="BK45" i="14"/>
  <c r="BM45" i="14"/>
  <c r="BN45" i="14"/>
  <c r="BP45" i="14"/>
  <c r="BE46" i="14"/>
  <c r="BF46" i="14"/>
  <c r="BG46" i="14"/>
  <c r="BH46" i="14"/>
  <c r="BI46" i="14"/>
  <c r="BJ46" i="14"/>
  <c r="BK46" i="14"/>
  <c r="BM46" i="14"/>
  <c r="BN46" i="14"/>
  <c r="BP46" i="14"/>
  <c r="BE47" i="14"/>
  <c r="BF47" i="14"/>
  <c r="BG47" i="14"/>
  <c r="BH47" i="14"/>
  <c r="BI47" i="14"/>
  <c r="BJ47" i="14"/>
  <c r="BK47" i="14"/>
  <c r="BM47" i="14"/>
  <c r="BN47" i="14"/>
  <c r="BP47" i="14"/>
  <c r="BE48" i="14"/>
  <c r="BF48" i="14"/>
  <c r="BG48" i="14"/>
  <c r="BH48" i="14"/>
  <c r="BI48" i="14"/>
  <c r="BJ48" i="14"/>
  <c r="BK48" i="14"/>
  <c r="BM48" i="14"/>
  <c r="BN48" i="14"/>
  <c r="BP48" i="14"/>
  <c r="BP43" i="14"/>
  <c r="BN43" i="14"/>
  <c r="BM43" i="14"/>
  <c r="BK43" i="14"/>
  <c r="BI43" i="14"/>
  <c r="BJ43" i="14"/>
  <c r="BH43" i="14"/>
  <c r="BF43" i="14"/>
  <c r="BG43" i="14"/>
  <c r="BE43" i="14"/>
  <c r="BF41" i="14"/>
  <c r="BG41" i="14"/>
  <c r="BH41" i="14"/>
  <c r="BN41" i="14" s="1"/>
  <c r="BI41" i="14"/>
  <c r="BO41" i="14" s="1"/>
  <c r="BJ41" i="14"/>
  <c r="BK41" i="14"/>
  <c r="BL41" i="14"/>
  <c r="BX41" i="14" s="1"/>
  <c r="BM41" i="14"/>
  <c r="BP41" i="14"/>
  <c r="BF42" i="14"/>
  <c r="BL42" i="14" s="1"/>
  <c r="BX42" i="14" s="1"/>
  <c r="BG42" i="14"/>
  <c r="BH42" i="14"/>
  <c r="BI42" i="14"/>
  <c r="BO42" i="14" s="1"/>
  <c r="BJ42" i="14"/>
  <c r="BP42" i="14" s="1"/>
  <c r="BK42" i="14"/>
  <c r="BM42" i="14"/>
  <c r="BN42" i="14"/>
  <c r="BE41" i="14"/>
  <c r="BE42" i="14"/>
  <c r="B8" i="14"/>
  <c r="C8" i="14"/>
  <c r="D8"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J5" i="14"/>
  <c r="B67" i="15" l="1"/>
  <c r="B44" i="15" l="1"/>
  <c r="B63" i="15"/>
  <c r="E59" i="15"/>
  <c r="E11" i="15"/>
  <c r="E67" i="15"/>
  <c r="CD67" i="15"/>
  <c r="CD59" i="15"/>
  <c r="CD118" i="15" l="1"/>
  <c r="CE108" i="15"/>
  <c r="CE109" i="15"/>
  <c r="CE110" i="15"/>
  <c r="CE115" i="15" s="1"/>
  <c r="CE120" i="15" s="1"/>
  <c r="CE111" i="15"/>
  <c r="CE113" i="15"/>
  <c r="CE114" i="15"/>
  <c r="CE119" i="15" s="1"/>
  <c r="CE116" i="15"/>
  <c r="CE121" i="15" s="1"/>
  <c r="CE118" i="15"/>
  <c r="CE107" i="15"/>
  <c r="CE112" i="15" s="1"/>
  <c r="CE117" i="15" s="1"/>
  <c r="CA7" i="15"/>
  <c r="CB7" i="15"/>
  <c r="BZ7" i="15"/>
  <c r="BM66" i="15"/>
  <c r="BB58" i="15"/>
  <c r="BB66" i="15"/>
  <c r="BG7" i="15"/>
  <c r="BG66" i="15" s="1"/>
  <c r="BH7" i="15"/>
  <c r="BH66" i="15" s="1"/>
  <c r="BI7" i="15"/>
  <c r="BJ7" i="15"/>
  <c r="BJ66" i="15" s="1"/>
  <c r="BK7" i="15"/>
  <c r="BK66" i="15" s="1"/>
  <c r="BL7" i="15"/>
  <c r="BL66" i="15" s="1"/>
  <c r="BI66" i="15"/>
  <c r="BF7" i="15"/>
  <c r="BF66" i="15" s="1"/>
  <c r="AR66" i="15"/>
  <c r="AQ66" i="15"/>
  <c r="AP66" i="15"/>
  <c r="AO66" i="15"/>
  <c r="AN66" i="15"/>
  <c r="AM66" i="15"/>
  <c r="AL66" i="15"/>
  <c r="G69" i="15" l="1"/>
  <c r="H69" i="15"/>
  <c r="G70" i="15"/>
  <c r="H70" i="15"/>
  <c r="G71" i="15"/>
  <c r="H71" i="15"/>
  <c r="H68" i="15"/>
  <c r="G68" i="15"/>
  <c r="Q5" i="14" l="1" a="1"/>
  <c r="Q5" i="14" s="1"/>
  <c r="Q7" i="14" s="1"/>
  <c r="P5" i="14" a="1"/>
  <c r="P5" i="14" s="1"/>
  <c r="P7" i="14" s="1"/>
  <c r="L5" i="22"/>
  <c r="K5" i="22"/>
  <c r="J5" i="22"/>
  <c r="B3" i="22"/>
  <c r="H3" i="22"/>
  <c r="F3" i="22"/>
  <c r="D3" i="22"/>
  <c r="Q3" i="14"/>
  <c r="P3" i="14"/>
  <c r="Q8" i="14"/>
  <c r="P8" i="14"/>
  <c r="B16" i="14"/>
  <c r="C16" i="14"/>
  <c r="D16" i="14"/>
  <c r="E16" i="14"/>
  <c r="F16" i="14"/>
  <c r="G16" i="14"/>
  <c r="H16" i="14"/>
  <c r="I16" i="14"/>
  <c r="J16" i="14"/>
  <c r="K16" i="14"/>
  <c r="L16" i="14"/>
  <c r="M16" i="14"/>
  <c r="N16" i="14"/>
  <c r="O16" i="14"/>
  <c r="Q9" i="14" l="1"/>
  <c r="P9" i="14"/>
  <c r="CF94" i="15"/>
  <c r="CF100" i="15" s="1"/>
  <c r="AN67" i="15"/>
  <c r="BH67" i="15" s="1"/>
  <c r="AN68" i="15"/>
  <c r="BH68" i="15" s="1"/>
  <c r="AN69" i="15"/>
  <c r="BH69" i="15" s="1"/>
  <c r="AN70" i="15"/>
  <c r="BH70" i="15" s="1"/>
  <c r="AN71" i="15"/>
  <c r="BH71" i="15" s="1"/>
  <c r="AG58" i="15"/>
  <c r="AF58" i="15"/>
  <c r="AE58" i="15"/>
  <c r="AD58" i="15"/>
  <c r="AC58" i="15"/>
  <c r="AB58" i="15"/>
  <c r="AC66" i="15"/>
  <c r="AD66" i="15"/>
  <c r="AE66" i="15"/>
  <c r="AF66" i="15"/>
  <c r="AG66" i="15"/>
  <c r="AB66" i="15"/>
  <c r="B68" i="15"/>
  <c r="B69" i="15" s="1"/>
  <c r="B70" i="15" s="1"/>
  <c r="B71" i="15" s="1"/>
  <c r="AX71" i="15"/>
  <c r="AX70" i="15"/>
  <c r="AX69" i="15"/>
  <c r="AX68" i="15"/>
  <c r="E68" i="15"/>
  <c r="E69" i="15" s="1"/>
  <c r="E70" i="15" s="1"/>
  <c r="C68" i="15"/>
  <c r="AX67" i="15"/>
  <c r="C67" i="15"/>
  <c r="A60" i="15"/>
  <c r="A61" i="15" s="1"/>
  <c r="A62" i="15" s="1"/>
  <c r="A63" i="15" s="1"/>
  <c r="P10" i="14" l="1"/>
  <c r="AK40" i="14"/>
  <c r="Q10" i="14"/>
  <c r="AL40" i="14"/>
  <c r="CF101" i="15"/>
  <c r="E71" i="15"/>
  <c r="C17" i="14"/>
  <c r="E17" i="14"/>
  <c r="F17" i="14"/>
  <c r="G17" i="14"/>
  <c r="H17" i="14"/>
  <c r="I17" i="14"/>
  <c r="J17" i="14"/>
  <c r="K17" i="14"/>
  <c r="L17" i="14"/>
  <c r="N17" i="14"/>
  <c r="O17" i="14"/>
  <c r="D18" i="14"/>
  <c r="F18" i="14"/>
  <c r="G18" i="14"/>
  <c r="H18" i="14"/>
  <c r="J18" i="14"/>
  <c r="L18" i="14"/>
  <c r="M18" i="14"/>
  <c r="N18" i="14"/>
  <c r="O18" i="14"/>
  <c r="C19" i="14"/>
  <c r="D19" i="14"/>
  <c r="E19" i="14"/>
  <c r="F19" i="14"/>
  <c r="G19" i="14"/>
  <c r="H19" i="14"/>
  <c r="I19" i="14"/>
  <c r="K19" i="14"/>
  <c r="M19" i="14"/>
  <c r="O19" i="14"/>
  <c r="C20" i="14"/>
  <c r="D20" i="14"/>
  <c r="E20" i="14"/>
  <c r="F20" i="14"/>
  <c r="I20" i="14"/>
  <c r="J20" i="14"/>
  <c r="K20" i="14"/>
  <c r="L20" i="14"/>
  <c r="M20" i="14"/>
  <c r="N20" i="14"/>
  <c r="O20" i="14"/>
  <c r="C21" i="14"/>
  <c r="D21" i="14"/>
  <c r="E21" i="14"/>
  <c r="G21" i="14"/>
  <c r="H21" i="14"/>
  <c r="I21" i="14"/>
  <c r="J21" i="14"/>
  <c r="K21" i="14"/>
  <c r="L21" i="14"/>
  <c r="M21" i="14"/>
  <c r="N21" i="14"/>
  <c r="O21" i="14"/>
  <c r="C22" i="14"/>
  <c r="D22" i="14"/>
  <c r="E22" i="14"/>
  <c r="F22" i="14"/>
  <c r="G22" i="14"/>
  <c r="H22" i="14"/>
  <c r="I22" i="14"/>
  <c r="J22" i="14"/>
  <c r="K22" i="14"/>
  <c r="L22" i="14"/>
  <c r="M22" i="14"/>
  <c r="N22" i="14"/>
  <c r="B18" i="14"/>
  <c r="B19" i="14"/>
  <c r="B20" i="14"/>
  <c r="B21" i="14"/>
  <c r="B22" i="14"/>
  <c r="M7" i="14"/>
  <c r="C69" i="15" l="1"/>
  <c r="C9" i="14"/>
  <c r="D9" i="14"/>
  <c r="E9" i="14"/>
  <c r="E18" i="14" s="1"/>
  <c r="F9" i="14"/>
  <c r="F21" i="14" s="1"/>
  <c r="G9" i="14"/>
  <c r="G20" i="14" s="1"/>
  <c r="H9" i="14"/>
  <c r="H20" i="14" s="1"/>
  <c r="I9" i="14"/>
  <c r="I18" i="14" s="1"/>
  <c r="J9" i="14"/>
  <c r="J19" i="14" s="1"/>
  <c r="K9" i="14"/>
  <c r="K18" i="14" s="1"/>
  <c r="L9" i="14"/>
  <c r="L19" i="14" s="1"/>
  <c r="M9" i="14"/>
  <c r="M17" i="14" s="1"/>
  <c r="N9" i="14"/>
  <c r="N19" i="14" s="1"/>
  <c r="B9" i="14"/>
  <c r="D17" i="14" l="1"/>
  <c r="D40" i="14"/>
  <c r="E40" i="14"/>
  <c r="C18" i="14"/>
  <c r="C40" i="14"/>
  <c r="B17" i="14"/>
  <c r="B40" i="14"/>
  <c r="C70" i="15"/>
  <c r="C71" i="15" l="1"/>
  <c r="G61" i="15"/>
  <c r="AX61" i="15" s="1"/>
  <c r="H61" i="15"/>
  <c r="G62" i="15"/>
  <c r="AX62" i="15" s="1"/>
  <c r="H62" i="15"/>
  <c r="G63" i="15"/>
  <c r="AX63" i="15" s="1"/>
  <c r="H63" i="15"/>
  <c r="H60" i="15"/>
  <c r="G60" i="15"/>
  <c r="E60" i="15"/>
  <c r="E61" i="15" s="1"/>
  <c r="E62" i="15" s="1"/>
  <c r="E63" i="15" s="1"/>
  <c r="G10" i="15"/>
  <c r="H10" i="15"/>
  <c r="G11" i="15"/>
  <c r="H11" i="15"/>
  <c r="G12" i="15"/>
  <c r="H12" i="15"/>
  <c r="G13" i="15"/>
  <c r="H13" i="15"/>
  <c r="G14" i="15"/>
  <c r="H14" i="15"/>
  <c r="G15" i="15"/>
  <c r="H15" i="15"/>
  <c r="G16" i="15"/>
  <c r="H16" i="15"/>
  <c r="G17" i="15"/>
  <c r="H17" i="15"/>
  <c r="G18" i="15"/>
  <c r="H18" i="15"/>
  <c r="G19" i="15"/>
  <c r="H19" i="15"/>
  <c r="G20" i="15"/>
  <c r="AX20" i="15" s="1"/>
  <c r="H20" i="15"/>
  <c r="G21" i="15"/>
  <c r="AX21" i="15" s="1"/>
  <c r="H21" i="15"/>
  <c r="G22" i="15"/>
  <c r="H22" i="15"/>
  <c r="G23" i="15"/>
  <c r="H23" i="15"/>
  <c r="G24" i="15"/>
  <c r="H24" i="15"/>
  <c r="G25" i="15"/>
  <c r="H25" i="15"/>
  <c r="G26" i="15"/>
  <c r="H26" i="15"/>
  <c r="G27" i="15"/>
  <c r="H27" i="15"/>
  <c r="G28" i="15"/>
  <c r="H28" i="15"/>
  <c r="G29" i="15"/>
  <c r="H29" i="15"/>
  <c r="G30" i="15"/>
  <c r="H30" i="15"/>
  <c r="G31" i="15"/>
  <c r="H31" i="15"/>
  <c r="G32" i="15"/>
  <c r="AX32" i="15" s="1"/>
  <c r="H32" i="15"/>
  <c r="G33" i="15"/>
  <c r="AX33" i="15" s="1"/>
  <c r="H33" i="15"/>
  <c r="G34" i="15"/>
  <c r="H34" i="15"/>
  <c r="G35" i="15"/>
  <c r="H35" i="15"/>
  <c r="G36" i="15"/>
  <c r="H36" i="15"/>
  <c r="G37" i="15"/>
  <c r="H37" i="15"/>
  <c r="G38" i="15"/>
  <c r="H38" i="15"/>
  <c r="G39" i="15"/>
  <c r="H39" i="15"/>
  <c r="G40" i="15"/>
  <c r="H40" i="15"/>
  <c r="G41" i="15"/>
  <c r="H41" i="15"/>
  <c r="G42" i="15"/>
  <c r="H42" i="15"/>
  <c r="G43" i="15"/>
  <c r="H43" i="15"/>
  <c r="G44" i="15"/>
  <c r="AX44" i="15" s="1"/>
  <c r="H44" i="15"/>
  <c r="G45" i="15"/>
  <c r="H45" i="15"/>
  <c r="G46" i="15"/>
  <c r="H46" i="15"/>
  <c r="G47" i="15"/>
  <c r="H47" i="15"/>
  <c r="G48" i="15"/>
  <c r="H48" i="15"/>
  <c r="G49" i="15"/>
  <c r="H49" i="15"/>
  <c r="G50" i="15"/>
  <c r="H50" i="15"/>
  <c r="G51" i="15"/>
  <c r="H51" i="15"/>
  <c r="G52" i="15"/>
  <c r="H52" i="15"/>
  <c r="G53" i="15"/>
  <c r="H53" i="15"/>
  <c r="G54" i="15"/>
  <c r="H54" i="15"/>
  <c r="G55" i="15"/>
  <c r="H55" i="15"/>
  <c r="H9" i="15"/>
  <c r="G9" i="15"/>
  <c r="AX60" i="15"/>
  <c r="AX59" i="15"/>
  <c r="C59" i="15"/>
  <c r="C8" i="15"/>
  <c r="Y8" i="15" s="1"/>
  <c r="B45" i="15"/>
  <c r="B46" i="15" s="1"/>
  <c r="B47" i="15" s="1"/>
  <c r="B48" i="15" s="1"/>
  <c r="B49" i="15" s="1"/>
  <c r="B50" i="15" s="1"/>
  <c r="B51" i="15" s="1"/>
  <c r="B52" i="15" s="1"/>
  <c r="B53" i="15" s="1"/>
  <c r="B54" i="15" s="1"/>
  <c r="B55" i="15" s="1"/>
  <c r="B33" i="15"/>
  <c r="B34" i="15" s="1"/>
  <c r="B35" i="15" s="1"/>
  <c r="B36" i="15" s="1"/>
  <c r="B37" i="15" s="1"/>
  <c r="B38" i="15" s="1"/>
  <c r="B39" i="15" s="1"/>
  <c r="B40" i="15" s="1"/>
  <c r="B41" i="15" s="1"/>
  <c r="B42" i="15" s="1"/>
  <c r="B43" i="15" s="1"/>
  <c r="B21" i="15"/>
  <c r="B22" i="15" s="1"/>
  <c r="B23" i="15" s="1"/>
  <c r="B24" i="15" s="1"/>
  <c r="B25" i="15" s="1"/>
  <c r="B26" i="15" s="1"/>
  <c r="B27" i="15" s="1"/>
  <c r="B28" i="15" s="1"/>
  <c r="B29" i="15" s="1"/>
  <c r="B30" i="15" s="1"/>
  <c r="B31" i="15" s="1"/>
  <c r="B9" i="15"/>
  <c r="B10" i="15" s="1"/>
  <c r="B11" i="15" s="1"/>
  <c r="B12" i="15" s="1"/>
  <c r="B13" i="15" s="1"/>
  <c r="B14" i="15" s="1"/>
  <c r="B15" i="15" s="1"/>
  <c r="B16" i="15" s="1"/>
  <c r="B17" i="15" s="1"/>
  <c r="B18" i="15" s="1"/>
  <c r="B19" i="15" s="1"/>
  <c r="A24" i="15"/>
  <c r="A36" i="15" s="1"/>
  <c r="A28" i="15"/>
  <c r="A40" i="15" s="1"/>
  <c r="A20" i="15"/>
  <c r="A32" i="15" s="1"/>
  <c r="C32" i="15" s="1"/>
  <c r="Y32" i="15" s="1"/>
  <c r="A17" i="15"/>
  <c r="A18" i="15" s="1"/>
  <c r="A30" i="15" s="1"/>
  <c r="A13" i="15"/>
  <c r="A14" i="15" s="1"/>
  <c r="A26" i="15" s="1"/>
  <c r="A38" i="15" s="1"/>
  <c r="A9" i="15"/>
  <c r="A10" i="15" s="1"/>
  <c r="A11" i="15" s="1"/>
  <c r="AA9" i="15"/>
  <c r="AA10" i="15"/>
  <c r="AA11" i="15"/>
  <c r="AA8" i="15"/>
  <c r="E13" i="15"/>
  <c r="AA13" i="15" s="1"/>
  <c r="E14" i="15"/>
  <c r="E18" i="15" s="1"/>
  <c r="E15" i="15"/>
  <c r="AA15" i="15" s="1"/>
  <c r="E12" i="15"/>
  <c r="AA12" i="15" s="1"/>
  <c r="W12" i="14" a="1"/>
  <c r="W12" i="14" s="1"/>
  <c r="V12" i="14" a="1"/>
  <c r="V12" i="14" s="1"/>
  <c r="C10" i="14"/>
  <c r="D10" i="14"/>
  <c r="E10" i="14"/>
  <c r="F10" i="14"/>
  <c r="G10" i="14"/>
  <c r="H10" i="14"/>
  <c r="I10" i="14"/>
  <c r="J10" i="14"/>
  <c r="K10" i="14"/>
  <c r="L10" i="14"/>
  <c r="M10" i="14"/>
  <c r="N10" i="14"/>
  <c r="B10" i="14"/>
  <c r="W11" i="14" l="1" a="1"/>
  <c r="W11" i="14" s="1"/>
  <c r="O71" i="15" s="1"/>
  <c r="V11" i="14" a="1"/>
  <c r="V11" i="14" s="1"/>
  <c r="N68" i="15" s="1"/>
  <c r="AA59" i="15"/>
  <c r="CG59" i="15" s="1"/>
  <c r="I69" i="15"/>
  <c r="I71" i="15"/>
  <c r="I70" i="15"/>
  <c r="I68" i="15"/>
  <c r="I67" i="15"/>
  <c r="J60" i="15"/>
  <c r="M60" i="15" s="1"/>
  <c r="J71" i="15"/>
  <c r="J70" i="15"/>
  <c r="J69" i="15"/>
  <c r="J68" i="15"/>
  <c r="J67" i="15"/>
  <c r="I63" i="15"/>
  <c r="I59" i="15"/>
  <c r="I11" i="15"/>
  <c r="I15" i="15"/>
  <c r="I19" i="15"/>
  <c r="I23" i="15"/>
  <c r="I27" i="15"/>
  <c r="I31" i="15"/>
  <c r="I35" i="15"/>
  <c r="I39" i="15"/>
  <c r="I43" i="15"/>
  <c r="I47" i="15"/>
  <c r="I51" i="15"/>
  <c r="I55" i="15"/>
  <c r="I62" i="15"/>
  <c r="I8" i="15"/>
  <c r="I12" i="15"/>
  <c r="I16" i="15"/>
  <c r="I20" i="15"/>
  <c r="I24" i="15"/>
  <c r="I28" i="15"/>
  <c r="I32" i="15"/>
  <c r="I36" i="15"/>
  <c r="I40" i="15"/>
  <c r="I44" i="15"/>
  <c r="I48" i="15"/>
  <c r="I52" i="15"/>
  <c r="I61" i="15"/>
  <c r="I9" i="15"/>
  <c r="I13" i="15"/>
  <c r="I17" i="15"/>
  <c r="I21" i="15"/>
  <c r="I25" i="15"/>
  <c r="I29" i="15"/>
  <c r="I33" i="15"/>
  <c r="I37" i="15"/>
  <c r="I41" i="15"/>
  <c r="I45" i="15"/>
  <c r="I49" i="15"/>
  <c r="I53" i="15"/>
  <c r="I60" i="15"/>
  <c r="I10" i="15"/>
  <c r="I14" i="15"/>
  <c r="I18" i="15"/>
  <c r="I22" i="15"/>
  <c r="I26" i="15"/>
  <c r="I30" i="15"/>
  <c r="I34" i="15"/>
  <c r="I38" i="15"/>
  <c r="I42" i="15"/>
  <c r="I46" i="15"/>
  <c r="I50" i="15"/>
  <c r="I54" i="15"/>
  <c r="C60" i="15"/>
  <c r="J63" i="15"/>
  <c r="M63" i="15" s="1"/>
  <c r="J55" i="15"/>
  <c r="J47" i="15"/>
  <c r="J49" i="15"/>
  <c r="J51" i="15"/>
  <c r="J8" i="15"/>
  <c r="J45" i="15"/>
  <c r="J53" i="15"/>
  <c r="J61" i="15"/>
  <c r="M61" i="15" s="1"/>
  <c r="J31" i="15"/>
  <c r="J29" i="15"/>
  <c r="J27" i="15"/>
  <c r="J25" i="15"/>
  <c r="J23" i="15"/>
  <c r="J21" i="15"/>
  <c r="J19" i="15"/>
  <c r="J17" i="15"/>
  <c r="J15" i="15"/>
  <c r="J13" i="15"/>
  <c r="J11" i="15"/>
  <c r="J9" i="15"/>
  <c r="J34" i="15"/>
  <c r="J36" i="15"/>
  <c r="J38" i="15"/>
  <c r="J40" i="15"/>
  <c r="J42" i="15"/>
  <c r="J44" i="15"/>
  <c r="J46" i="15"/>
  <c r="J48" i="15"/>
  <c r="J50" i="15"/>
  <c r="J52" i="15"/>
  <c r="J54" i="15"/>
  <c r="J59" i="15"/>
  <c r="M59" i="15" s="1"/>
  <c r="J62" i="15"/>
  <c r="M62" i="15" s="1"/>
  <c r="J30" i="15"/>
  <c r="J28" i="15"/>
  <c r="J26" i="15"/>
  <c r="J24" i="15"/>
  <c r="J22" i="15"/>
  <c r="J20" i="15"/>
  <c r="J18" i="15"/>
  <c r="J16" i="15"/>
  <c r="J14" i="15"/>
  <c r="J12" i="15"/>
  <c r="J10" i="15"/>
  <c r="J32" i="15"/>
  <c r="J33" i="15"/>
  <c r="J35" i="15"/>
  <c r="J37" i="15"/>
  <c r="M37" i="15" s="1"/>
  <c r="J39" i="15"/>
  <c r="J41" i="15"/>
  <c r="J43" i="15"/>
  <c r="M51" i="15"/>
  <c r="N55" i="15"/>
  <c r="C62" i="15"/>
  <c r="C61" i="15"/>
  <c r="C20" i="15"/>
  <c r="Y20" i="15" s="1"/>
  <c r="C30" i="15"/>
  <c r="C26" i="15"/>
  <c r="C18" i="15"/>
  <c r="E19" i="15"/>
  <c r="E23" i="15" s="1"/>
  <c r="E27" i="15" s="1"/>
  <c r="C24" i="15"/>
  <c r="C14" i="15"/>
  <c r="C10" i="15"/>
  <c r="C28" i="15"/>
  <c r="C38" i="15"/>
  <c r="C17" i="15"/>
  <c r="C13" i="15"/>
  <c r="C9" i="15"/>
  <c r="C40" i="15"/>
  <c r="C36" i="15"/>
  <c r="C16" i="15"/>
  <c r="C12" i="15"/>
  <c r="C11" i="15"/>
  <c r="E17" i="15"/>
  <c r="AA17" i="15" s="1"/>
  <c r="AA14" i="15"/>
  <c r="AA18" i="15"/>
  <c r="E22" i="15"/>
  <c r="A48" i="15"/>
  <c r="A44" i="15"/>
  <c r="A42" i="15"/>
  <c r="C42" i="15" s="1"/>
  <c r="A52" i="15"/>
  <c r="A50" i="15"/>
  <c r="A23" i="15"/>
  <c r="A35" i="15" s="1"/>
  <c r="C35" i="15" s="1"/>
  <c r="A22" i="15"/>
  <c r="A29" i="15"/>
  <c r="A41" i="15" s="1"/>
  <c r="C41" i="15" s="1"/>
  <c r="A25" i="15"/>
  <c r="C25" i="15" s="1"/>
  <c r="A21" i="15"/>
  <c r="A33" i="15" s="1"/>
  <c r="C33" i="15" s="1"/>
  <c r="AX45" i="15"/>
  <c r="A19" i="15"/>
  <c r="C19" i="15" s="1"/>
  <c r="A15" i="15"/>
  <c r="C15" i="15" s="1"/>
  <c r="E16" i="15"/>
  <c r="B14" i="14"/>
  <c r="CQ113" i="15"/>
  <c r="CQ114" i="15"/>
  <c r="CQ115" i="15"/>
  <c r="CQ116" i="15"/>
  <c r="CQ121" i="15"/>
  <c r="CQ122" i="15"/>
  <c r="CQ123" i="15"/>
  <c r="CP114" i="15"/>
  <c r="CP122" i="15" s="1"/>
  <c r="CP115" i="15"/>
  <c r="CP123" i="15" s="1"/>
  <c r="CP116" i="15"/>
  <c r="CP124" i="15" s="1"/>
  <c r="CP117" i="15"/>
  <c r="CP125" i="15" s="1"/>
  <c r="CP118" i="15"/>
  <c r="CP126" i="15" s="1"/>
  <c r="CP119" i="15"/>
  <c r="CP127" i="15" s="1"/>
  <c r="CP120" i="15"/>
  <c r="CP128" i="15" s="1"/>
  <c r="CP113" i="15"/>
  <c r="CP121" i="15" s="1"/>
  <c r="CO105" i="15"/>
  <c r="CQ110" i="15"/>
  <c r="CQ118" i="15" s="1"/>
  <c r="CQ126" i="15" s="1"/>
  <c r="CQ111" i="15"/>
  <c r="CQ119" i="15" s="1"/>
  <c r="CQ127" i="15" s="1"/>
  <c r="CQ112" i="15"/>
  <c r="CQ120" i="15" s="1"/>
  <c r="CQ128" i="15" s="1"/>
  <c r="CQ109" i="15"/>
  <c r="CS109" i="15" s="1"/>
  <c r="DJ5" i="15"/>
  <c r="DP5" i="15"/>
  <c r="CW108" i="15" s="1"/>
  <c r="CW112" i="15" s="1"/>
  <c r="CI7" i="15"/>
  <c r="CJ7" i="15"/>
  <c r="CH7" i="15"/>
  <c r="CD119" i="15"/>
  <c r="CD120" i="15" s="1"/>
  <c r="CD121" i="15" s="1"/>
  <c r="CD108" i="15"/>
  <c r="CD109" i="15" s="1"/>
  <c r="CD110" i="15" s="1"/>
  <c r="CO121" i="15" s="1"/>
  <c r="CO122" i="15" s="1"/>
  <c r="CO123" i="15" s="1"/>
  <c r="CO124" i="15" s="1"/>
  <c r="CO125" i="15" s="1"/>
  <c r="CO126" i="15" s="1"/>
  <c r="CO127" i="15" s="1"/>
  <c r="CO128" i="15" s="1"/>
  <c r="CD103" i="15"/>
  <c r="CD104" i="15" s="1"/>
  <c r="CD105" i="15" s="1"/>
  <c r="CD106" i="15" s="1"/>
  <c r="CO113" i="15" s="1"/>
  <c r="CG119" i="15"/>
  <c r="CG120" i="15"/>
  <c r="CG117" i="15"/>
  <c r="CG118" i="15"/>
  <c r="BW7" i="15"/>
  <c r="BV7" i="15"/>
  <c r="BU7" i="15"/>
  <c r="AX8" i="15"/>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V3" i="1"/>
  <c r="U3" i="1"/>
  <c r="T3" i="1"/>
  <c r="S3" i="1"/>
  <c r="R4" i="1"/>
  <c r="BU55" i="15" l="1"/>
  <c r="BW55" i="15"/>
  <c r="BU68" i="15"/>
  <c r="BW68" i="15"/>
  <c r="N50" i="15"/>
  <c r="N52" i="15"/>
  <c r="O44" i="15"/>
  <c r="O46" i="15"/>
  <c r="N18" i="15"/>
  <c r="O53" i="15"/>
  <c r="N11" i="15"/>
  <c r="N20" i="15"/>
  <c r="N63" i="15"/>
  <c r="N15" i="15"/>
  <c r="N34" i="15"/>
  <c r="O23" i="15"/>
  <c r="O22" i="15"/>
  <c r="O29" i="15"/>
  <c r="N33" i="15"/>
  <c r="N36" i="15"/>
  <c r="O27" i="15"/>
  <c r="O26" i="15"/>
  <c r="O33" i="15"/>
  <c r="N35" i="15"/>
  <c r="O59" i="15"/>
  <c r="N26" i="15"/>
  <c r="N42" i="15"/>
  <c r="O9" i="15"/>
  <c r="O39" i="15"/>
  <c r="O12" i="15"/>
  <c r="O34" i="15"/>
  <c r="O54" i="15"/>
  <c r="O51" i="15"/>
  <c r="N23" i="15"/>
  <c r="N43" i="15"/>
  <c r="N12" i="15"/>
  <c r="N28" i="15"/>
  <c r="N44" i="15"/>
  <c r="O11" i="15"/>
  <c r="O41" i="15"/>
  <c r="O14" i="15"/>
  <c r="O36" i="15"/>
  <c r="O13" i="15"/>
  <c r="O55" i="15"/>
  <c r="BR55" i="15" s="1"/>
  <c r="N25" i="15"/>
  <c r="N47" i="15"/>
  <c r="N14" i="15"/>
  <c r="N22" i="15"/>
  <c r="N30" i="15"/>
  <c r="N38" i="15"/>
  <c r="N46" i="15"/>
  <c r="N54" i="15"/>
  <c r="O15" i="15"/>
  <c r="O31" i="15"/>
  <c r="O45" i="15"/>
  <c r="N61" i="15"/>
  <c r="O18" i="15"/>
  <c r="O28" i="15"/>
  <c r="O38" i="15"/>
  <c r="O50" i="15"/>
  <c r="O17" i="15"/>
  <c r="O37" i="15"/>
  <c r="O60" i="15"/>
  <c r="N17" i="15"/>
  <c r="N27" i="15"/>
  <c r="N39" i="15"/>
  <c r="N49" i="15"/>
  <c r="O61" i="15"/>
  <c r="N16" i="15"/>
  <c r="N24" i="15"/>
  <c r="N32" i="15"/>
  <c r="N40" i="15"/>
  <c r="N48" i="15"/>
  <c r="N62" i="15"/>
  <c r="O19" i="15"/>
  <c r="O35" i="15"/>
  <c r="O49" i="15"/>
  <c r="O10" i="15"/>
  <c r="O20" i="15"/>
  <c r="O30" i="15"/>
  <c r="O42" i="15"/>
  <c r="O52" i="15"/>
  <c r="O21" i="15"/>
  <c r="O47" i="15"/>
  <c r="N9" i="15"/>
  <c r="N19" i="15"/>
  <c r="N31" i="15"/>
  <c r="N41" i="15"/>
  <c r="N51" i="15"/>
  <c r="N59" i="15"/>
  <c r="O16" i="15"/>
  <c r="O24" i="15"/>
  <c r="O32" i="15"/>
  <c r="O40" i="15"/>
  <c r="O48" i="15"/>
  <c r="N60" i="15"/>
  <c r="O25" i="15"/>
  <c r="O43" i="15"/>
  <c r="O62" i="15"/>
  <c r="N13" i="15"/>
  <c r="N21" i="15"/>
  <c r="N29" i="15"/>
  <c r="N37" i="15"/>
  <c r="N45" i="15"/>
  <c r="N53" i="15"/>
  <c r="N69" i="15"/>
  <c r="N70" i="15"/>
  <c r="N10" i="15"/>
  <c r="N67" i="15"/>
  <c r="O69" i="15"/>
  <c r="N71" i="15"/>
  <c r="BS71" i="15" s="1"/>
  <c r="O68" i="15"/>
  <c r="O70" i="15"/>
  <c r="O67" i="15"/>
  <c r="O63" i="15"/>
  <c r="E21" i="15"/>
  <c r="C14" i="14"/>
  <c r="D14" i="14" s="1"/>
  <c r="E14" i="14" s="1"/>
  <c r="F14" i="14" s="1"/>
  <c r="G14" i="14" s="1"/>
  <c r="H14" i="14" s="1"/>
  <c r="I14" i="14" s="1"/>
  <c r="J14" i="14" s="1"/>
  <c r="K14" i="14" s="1"/>
  <c r="L14" i="14" s="1"/>
  <c r="M14" i="14" s="1"/>
  <c r="N14" i="14" s="1"/>
  <c r="O14" i="14" s="1"/>
  <c r="P14" i="14" s="1"/>
  <c r="Q14" i="14" s="1"/>
  <c r="D34" i="14" s="1"/>
  <c r="C34" i="14"/>
  <c r="E34" i="14"/>
  <c r="AC34" i="14"/>
  <c r="G34" i="14"/>
  <c r="AE34" i="14"/>
  <c r="H34" i="14"/>
  <c r="AA34" i="14"/>
  <c r="N34" i="14"/>
  <c r="AF34" i="14"/>
  <c r="Q34" i="14"/>
  <c r="O34" i="14"/>
  <c r="U34" i="14"/>
  <c r="X34" i="14"/>
  <c r="M34" i="14"/>
  <c r="AG34" i="14"/>
  <c r="R34" i="14"/>
  <c r="AH34" i="14"/>
  <c r="K34" i="14"/>
  <c r="P34" i="14"/>
  <c r="T34" i="14"/>
  <c r="AL34" i="14"/>
  <c r="AB34" i="14"/>
  <c r="F34" i="14"/>
  <c r="Z34" i="14"/>
  <c r="CD111" i="15"/>
  <c r="M39" i="15"/>
  <c r="M32" i="15"/>
  <c r="M50" i="15"/>
  <c r="M42" i="15"/>
  <c r="M34" i="15"/>
  <c r="M55" i="15"/>
  <c r="M41" i="15"/>
  <c r="M33" i="15"/>
  <c r="M52" i="15"/>
  <c r="M44" i="15"/>
  <c r="M36" i="15"/>
  <c r="M21" i="15"/>
  <c r="M45" i="15"/>
  <c r="M47" i="15"/>
  <c r="M48" i="15"/>
  <c r="M40" i="15"/>
  <c r="M43" i="15"/>
  <c r="M35" i="15"/>
  <c r="M20" i="15"/>
  <c r="M54" i="15"/>
  <c r="M46" i="15"/>
  <c r="M38" i="15"/>
  <c r="M53" i="15"/>
  <c r="M49" i="15"/>
  <c r="AA61" i="15"/>
  <c r="CG61" i="15" s="1"/>
  <c r="AA60" i="15"/>
  <c r="CG60" i="15" s="1"/>
  <c r="CO106" i="15"/>
  <c r="CO107" i="15" s="1"/>
  <c r="CO108" i="15" s="1"/>
  <c r="CO109" i="15" s="1"/>
  <c r="CO110" i="15" s="1"/>
  <c r="CO111" i="15" s="1"/>
  <c r="CO112" i="15" s="1"/>
  <c r="CO114" i="15"/>
  <c r="CO115" i="15" s="1"/>
  <c r="CO116" i="15" s="1"/>
  <c r="CO117" i="15" s="1"/>
  <c r="CO118" i="15" s="1"/>
  <c r="CO119" i="15" s="1"/>
  <c r="CO120" i="15" s="1"/>
  <c r="M67" i="15"/>
  <c r="M71" i="15"/>
  <c r="M68" i="15"/>
  <c r="M70" i="15"/>
  <c r="M69" i="15"/>
  <c r="C44" i="15"/>
  <c r="Y44" i="15" s="1"/>
  <c r="AA62" i="15"/>
  <c r="CG62" i="15" s="1"/>
  <c r="C23" i="15"/>
  <c r="AA27" i="15"/>
  <c r="CG27" i="15" s="1"/>
  <c r="E31" i="15"/>
  <c r="C50" i="15"/>
  <c r="C21" i="15"/>
  <c r="C52" i="15"/>
  <c r="AA23" i="15"/>
  <c r="CG23" i="15" s="1"/>
  <c r="C48" i="15"/>
  <c r="A34" i="15"/>
  <c r="C34" i="15" s="1"/>
  <c r="C22" i="15"/>
  <c r="AA19" i="15"/>
  <c r="C29" i="15"/>
  <c r="A45" i="15"/>
  <c r="A37" i="15"/>
  <c r="C37" i="15" s="1"/>
  <c r="AA16" i="15"/>
  <c r="E20" i="15"/>
  <c r="A27" i="15"/>
  <c r="A53" i="15"/>
  <c r="AA21" i="15"/>
  <c r="CG21" i="15" s="1"/>
  <c r="E25" i="15"/>
  <c r="AA22" i="15"/>
  <c r="CG22" i="15" s="1"/>
  <c r="E26" i="15"/>
  <c r="A31" i="15"/>
  <c r="C31" i="15" s="1"/>
  <c r="CW116" i="15"/>
  <c r="CW120" i="15" s="1"/>
  <c r="A47" i="15"/>
  <c r="A54" i="15"/>
  <c r="AX46" i="15"/>
  <c r="AX34" i="15"/>
  <c r="M22" i="15"/>
  <c r="AX22" i="15"/>
  <c r="M9" i="15"/>
  <c r="CS121" i="15"/>
  <c r="CW123" i="15"/>
  <c r="CW127" i="15" s="1"/>
  <c r="CQ124" i="15"/>
  <c r="CW124" i="15" s="1"/>
  <c r="CW128" i="15" s="1"/>
  <c r="CQ117" i="15"/>
  <c r="CG121" i="15"/>
  <c r="CS113" i="15"/>
  <c r="CW115" i="15"/>
  <c r="CW119" i="15" s="1"/>
  <c r="AX9" i="15"/>
  <c r="M8" i="15"/>
  <c r="CS105" i="15"/>
  <c r="CY104" i="15"/>
  <c r="CZ104" i="15"/>
  <c r="CX104" i="15"/>
  <c r="DB7" i="15"/>
  <c r="DE7" i="15" s="1"/>
  <c r="DH7" i="15" s="1"/>
  <c r="DK7" i="15" s="1"/>
  <c r="DN7" i="15" s="1"/>
  <c r="DQ7" i="15" s="1"/>
  <c r="DT7" i="15" s="1"/>
  <c r="DC7" i="15"/>
  <c r="DF7" i="15" s="1"/>
  <c r="DI7" i="15" s="1"/>
  <c r="DL7" i="15" s="1"/>
  <c r="DO7" i="15" s="1"/>
  <c r="DR7" i="15" s="1"/>
  <c r="DU7" i="15" s="1"/>
  <c r="CW107" i="15"/>
  <c r="CW111" i="15" s="1"/>
  <c r="DD5" i="15"/>
  <c r="CX5" i="15"/>
  <c r="DA7" i="15"/>
  <c r="DD7" i="15" s="1"/>
  <c r="DG7" i="15" s="1"/>
  <c r="DJ7" i="15" s="1"/>
  <c r="DM7" i="15" s="1"/>
  <c r="DP7" i="15" s="1"/>
  <c r="DS7" i="15" s="1"/>
  <c r="CG106" i="15"/>
  <c r="CG105" i="15"/>
  <c r="CI101" i="15"/>
  <c r="CJ101" i="15"/>
  <c r="CH101" i="15"/>
  <c r="CG103" i="15"/>
  <c r="CG104" i="15"/>
  <c r="CG102" i="15"/>
  <c r="AW7" i="15"/>
  <c r="AX7" i="15"/>
  <c r="AY7" i="15"/>
  <c r="AZ7" i="15"/>
  <c r="BA7" i="15"/>
  <c r="CL7" i="15"/>
  <c r="CM7" i="15"/>
  <c r="CK7" i="15"/>
  <c r="AV7" i="15"/>
  <c r="BV63" i="15" l="1"/>
  <c r="BS63" i="15"/>
  <c r="BW71" i="15"/>
  <c r="BR71" i="15"/>
  <c r="CA71" i="15" s="1"/>
  <c r="BU71" i="15"/>
  <c r="BT71" i="15"/>
  <c r="BW70" i="15"/>
  <c r="BR70" i="15"/>
  <c r="BU70" i="15"/>
  <c r="BT70" i="15"/>
  <c r="BT37" i="15"/>
  <c r="BW37" i="15"/>
  <c r="BR37" i="15"/>
  <c r="BU37" i="15"/>
  <c r="BV62" i="15"/>
  <c r="BS62" i="15"/>
  <c r="BV48" i="15"/>
  <c r="BS48" i="15"/>
  <c r="BV16" i="15"/>
  <c r="BS16" i="15"/>
  <c r="BT31" i="15"/>
  <c r="BU31" i="15"/>
  <c r="BW31" i="15"/>
  <c r="BR31" i="15"/>
  <c r="BV21" i="15"/>
  <c r="BS21" i="15"/>
  <c r="BV20" i="15"/>
  <c r="BS20" i="15"/>
  <c r="BV19" i="15"/>
  <c r="BS19" i="15"/>
  <c r="BU32" i="15"/>
  <c r="BW32" i="15"/>
  <c r="BT32" i="15"/>
  <c r="BR32" i="15"/>
  <c r="BT49" i="15"/>
  <c r="BW49" i="15"/>
  <c r="BU49" i="15"/>
  <c r="BR49" i="15"/>
  <c r="BS60" i="15"/>
  <c r="BV60" i="15"/>
  <c r="BS38" i="15"/>
  <c r="BV38" i="15"/>
  <c r="BV45" i="15"/>
  <c r="BS45" i="15"/>
  <c r="BW46" i="15"/>
  <c r="BU46" i="15"/>
  <c r="BT46" i="15"/>
  <c r="BR46" i="15"/>
  <c r="BW14" i="15"/>
  <c r="BU14" i="15"/>
  <c r="BT14" i="15"/>
  <c r="BR14" i="15"/>
  <c r="BV13" i="15"/>
  <c r="BS13" i="15"/>
  <c r="BV11" i="15"/>
  <c r="BS11" i="15"/>
  <c r="BT43" i="15"/>
  <c r="BU43" i="15"/>
  <c r="BW43" i="15"/>
  <c r="BR43" i="15"/>
  <c r="BS34" i="15"/>
  <c r="BV34" i="15"/>
  <c r="BW42" i="15"/>
  <c r="BU42" i="15"/>
  <c r="BT42" i="15"/>
  <c r="BR42" i="15"/>
  <c r="BV33" i="15"/>
  <c r="BS33" i="15"/>
  <c r="BT33" i="15"/>
  <c r="BW33" i="15"/>
  <c r="BR33" i="15"/>
  <c r="BU33" i="15"/>
  <c r="BW34" i="15"/>
  <c r="BU34" i="15"/>
  <c r="BT34" i="15"/>
  <c r="BR34" i="15"/>
  <c r="BT11" i="15"/>
  <c r="BU11" i="15"/>
  <c r="BW11" i="15"/>
  <c r="BR11" i="15"/>
  <c r="BZ11" i="15" s="1"/>
  <c r="BV44" i="15"/>
  <c r="BS44" i="15"/>
  <c r="BV71" i="15"/>
  <c r="BS67" i="15"/>
  <c r="BV67" i="15"/>
  <c r="BV69" i="15"/>
  <c r="BS69" i="15"/>
  <c r="BU69" i="15"/>
  <c r="BT69" i="15"/>
  <c r="BW69" i="15"/>
  <c r="BR69" i="15"/>
  <c r="BT29" i="15"/>
  <c r="BW29" i="15"/>
  <c r="BR29" i="15"/>
  <c r="BU29" i="15"/>
  <c r="BV43" i="15"/>
  <c r="BS43" i="15"/>
  <c r="BV40" i="15"/>
  <c r="BS40" i="15"/>
  <c r="BW59" i="15"/>
  <c r="BR59" i="15"/>
  <c r="BU59" i="15"/>
  <c r="BT59" i="15"/>
  <c r="BT19" i="15"/>
  <c r="BU19" i="15"/>
  <c r="BW19" i="15"/>
  <c r="BR19" i="15"/>
  <c r="BV52" i="15"/>
  <c r="BS52" i="15"/>
  <c r="BS10" i="15"/>
  <c r="BV10" i="15"/>
  <c r="BU62" i="15"/>
  <c r="BT62" i="15"/>
  <c r="BW62" i="15"/>
  <c r="BR62" i="15"/>
  <c r="BU24" i="15"/>
  <c r="BW24" i="15"/>
  <c r="BT24" i="15"/>
  <c r="BR24" i="15"/>
  <c r="BT39" i="15"/>
  <c r="BU39" i="15"/>
  <c r="BW39" i="15"/>
  <c r="BR39" i="15"/>
  <c r="BV37" i="15"/>
  <c r="BS37" i="15"/>
  <c r="CA37" i="15" s="1"/>
  <c r="BV28" i="15"/>
  <c r="BS28" i="15"/>
  <c r="BV31" i="15"/>
  <c r="BS31" i="15"/>
  <c r="BW38" i="15"/>
  <c r="BU38" i="15"/>
  <c r="BT38" i="15"/>
  <c r="BR38" i="15"/>
  <c r="BZ38" i="15" s="1"/>
  <c r="BT47" i="15"/>
  <c r="BU47" i="15"/>
  <c r="BW47" i="15"/>
  <c r="BR47" i="15"/>
  <c r="BV36" i="15"/>
  <c r="BS36" i="15"/>
  <c r="BU44" i="15"/>
  <c r="BW44" i="15"/>
  <c r="BT44" i="15"/>
  <c r="BR44" i="15"/>
  <c r="BT23" i="15"/>
  <c r="BU23" i="15"/>
  <c r="BW23" i="15"/>
  <c r="BR23" i="15"/>
  <c r="BV12" i="15"/>
  <c r="BS12" i="15"/>
  <c r="BW26" i="15"/>
  <c r="BU26" i="15"/>
  <c r="BT26" i="15"/>
  <c r="BR26" i="15"/>
  <c r="BS26" i="15"/>
  <c r="BV26" i="15"/>
  <c r="BV29" i="15"/>
  <c r="BS29" i="15"/>
  <c r="BT15" i="15"/>
  <c r="BU15" i="15"/>
  <c r="BW15" i="15"/>
  <c r="BR15" i="15"/>
  <c r="BV53" i="15"/>
  <c r="BS53" i="15"/>
  <c r="BU52" i="15"/>
  <c r="BW52" i="15"/>
  <c r="BT52" i="15"/>
  <c r="BR52" i="15"/>
  <c r="BT68" i="15"/>
  <c r="BV70" i="15"/>
  <c r="BS70" i="15"/>
  <c r="BW67" i="15"/>
  <c r="BR67" i="15"/>
  <c r="BZ67" i="15" s="1"/>
  <c r="BU67" i="15"/>
  <c r="BT67" i="15"/>
  <c r="BT53" i="15"/>
  <c r="BW53" i="15"/>
  <c r="BU53" i="15"/>
  <c r="BR53" i="15"/>
  <c r="BT21" i="15"/>
  <c r="BW21" i="15"/>
  <c r="BR21" i="15"/>
  <c r="BU21" i="15"/>
  <c r="BV25" i="15"/>
  <c r="BS25" i="15"/>
  <c r="BV32" i="15"/>
  <c r="BS32" i="15"/>
  <c r="CA32" i="15" s="1"/>
  <c r="BT51" i="15"/>
  <c r="BU51" i="15"/>
  <c r="BW51" i="15"/>
  <c r="BR51" i="15"/>
  <c r="BT9" i="15"/>
  <c r="BW9" i="15"/>
  <c r="BR9" i="15"/>
  <c r="BU9" i="15"/>
  <c r="BS42" i="15"/>
  <c r="BV42" i="15"/>
  <c r="BV49" i="15"/>
  <c r="BS49" i="15"/>
  <c r="BZ49" i="15" s="1"/>
  <c r="BU48" i="15"/>
  <c r="BW48" i="15"/>
  <c r="BT48" i="15"/>
  <c r="BR48" i="15"/>
  <c r="CA48" i="15" s="1"/>
  <c r="BU16" i="15"/>
  <c r="BR16" i="15"/>
  <c r="BZ16" i="15" s="1"/>
  <c r="BW16" i="15"/>
  <c r="BT16" i="15"/>
  <c r="BT27" i="15"/>
  <c r="BU27" i="15"/>
  <c r="BW27" i="15"/>
  <c r="BR27" i="15"/>
  <c r="BV17" i="15"/>
  <c r="BS17" i="15"/>
  <c r="BS18" i="15"/>
  <c r="BV18" i="15"/>
  <c r="BV15" i="15"/>
  <c r="BS15" i="15"/>
  <c r="CA15" i="15" s="1"/>
  <c r="BW30" i="15"/>
  <c r="BU30" i="15"/>
  <c r="BT30" i="15"/>
  <c r="BR30" i="15"/>
  <c r="BT25" i="15"/>
  <c r="BW25" i="15"/>
  <c r="BR25" i="15"/>
  <c r="BU25" i="15"/>
  <c r="BS14" i="15"/>
  <c r="BV14" i="15"/>
  <c r="BU28" i="15"/>
  <c r="BW28" i="15"/>
  <c r="BT28" i="15"/>
  <c r="BR28" i="15"/>
  <c r="BV51" i="15"/>
  <c r="BS51" i="15"/>
  <c r="BV39" i="15"/>
  <c r="BS39" i="15"/>
  <c r="BV59" i="15"/>
  <c r="BS59" i="15"/>
  <c r="BV27" i="15"/>
  <c r="BS27" i="15"/>
  <c r="CA27" i="15" s="1"/>
  <c r="BS22" i="15"/>
  <c r="BV22" i="15"/>
  <c r="BW63" i="15"/>
  <c r="BR63" i="15"/>
  <c r="BZ63" i="15" s="1"/>
  <c r="BU63" i="15"/>
  <c r="BT63" i="15"/>
  <c r="BW18" i="15"/>
  <c r="BU18" i="15"/>
  <c r="BT18" i="15"/>
  <c r="BR18" i="15"/>
  <c r="BW50" i="15"/>
  <c r="BU50" i="15"/>
  <c r="BT50" i="15"/>
  <c r="BR50" i="15"/>
  <c r="BS68" i="15"/>
  <c r="BV68" i="15"/>
  <c r="BW10" i="15"/>
  <c r="BU10" i="15"/>
  <c r="BT10" i="15"/>
  <c r="BR10" i="15"/>
  <c r="BT45" i="15"/>
  <c r="BW45" i="15"/>
  <c r="BR45" i="15"/>
  <c r="BU45" i="15"/>
  <c r="BT13" i="15"/>
  <c r="BW13" i="15"/>
  <c r="BR13" i="15"/>
  <c r="BU13" i="15"/>
  <c r="BW60" i="15"/>
  <c r="BR60" i="15"/>
  <c r="BU60" i="15"/>
  <c r="BT60" i="15"/>
  <c r="BV24" i="15"/>
  <c r="BS24" i="15"/>
  <c r="BT41" i="15"/>
  <c r="BW41" i="15"/>
  <c r="BR41" i="15"/>
  <c r="BU41" i="15"/>
  <c r="BV47" i="15"/>
  <c r="BS47" i="15"/>
  <c r="CA47" i="15" s="1"/>
  <c r="BS30" i="15"/>
  <c r="BV30" i="15"/>
  <c r="BV35" i="15"/>
  <c r="BS35" i="15"/>
  <c r="BU40" i="15"/>
  <c r="BW40" i="15"/>
  <c r="BT40" i="15"/>
  <c r="BR40" i="15"/>
  <c r="BS61" i="15"/>
  <c r="BV61" i="15"/>
  <c r="BT17" i="15"/>
  <c r="BW17" i="15"/>
  <c r="BR17" i="15"/>
  <c r="BU17" i="15"/>
  <c r="BS50" i="15"/>
  <c r="BV50" i="15"/>
  <c r="BU61" i="15"/>
  <c r="BT61" i="15"/>
  <c r="BW61" i="15"/>
  <c r="BR61" i="15"/>
  <c r="BW54" i="15"/>
  <c r="BU54" i="15"/>
  <c r="BT54" i="15"/>
  <c r="BR54" i="15"/>
  <c r="BW22" i="15"/>
  <c r="BU22" i="15"/>
  <c r="BT22" i="15"/>
  <c r="BR22" i="15"/>
  <c r="BV55" i="15"/>
  <c r="BS55" i="15"/>
  <c r="CA55" i="15" s="1"/>
  <c r="BV41" i="15"/>
  <c r="BS41" i="15"/>
  <c r="BU12" i="15"/>
  <c r="BR12" i="15"/>
  <c r="BW12" i="15"/>
  <c r="BT12" i="15"/>
  <c r="BS54" i="15"/>
  <c r="BV54" i="15"/>
  <c r="BV9" i="15"/>
  <c r="BS9" i="15"/>
  <c r="CA9" i="15" s="1"/>
  <c r="BT35" i="15"/>
  <c r="BU35" i="15"/>
  <c r="BW35" i="15"/>
  <c r="BR35" i="15"/>
  <c r="CA35" i="15" s="1"/>
  <c r="BU36" i="15"/>
  <c r="BW36" i="15"/>
  <c r="BT36" i="15"/>
  <c r="BR36" i="15"/>
  <c r="BV23" i="15"/>
  <c r="BS23" i="15"/>
  <c r="BU20" i="15"/>
  <c r="BR20" i="15"/>
  <c r="BW20" i="15"/>
  <c r="BT20" i="15"/>
  <c r="BS46" i="15"/>
  <c r="BV46" i="15"/>
  <c r="BR68" i="15"/>
  <c r="BT55" i="15"/>
  <c r="W34" i="14"/>
  <c r="V34" i="14"/>
  <c r="AD34" i="14"/>
  <c r="AI34" i="14"/>
  <c r="AI38" i="14" s="1"/>
  <c r="L34" i="14"/>
  <c r="L38" i="14" s="1"/>
  <c r="J34" i="14"/>
  <c r="I34" i="14"/>
  <c r="AL35" i="14"/>
  <c r="AL37" i="14"/>
  <c r="AL38" i="14"/>
  <c r="AL39" i="14"/>
  <c r="Y34" i="14"/>
  <c r="Y37" i="14" s="1"/>
  <c r="B34" i="14"/>
  <c r="AK34" i="14"/>
  <c r="AJ34" i="14"/>
  <c r="S34" i="14"/>
  <c r="S38" i="14" s="1"/>
  <c r="L35" i="14"/>
  <c r="L39" i="14"/>
  <c r="CD113" i="15"/>
  <c r="CD114" i="15" s="1"/>
  <c r="CD115" i="15" s="1"/>
  <c r="CD116" i="15" s="1"/>
  <c r="AY58" i="15"/>
  <c r="AY66" i="15"/>
  <c r="AX58" i="15"/>
  <c r="AX66" i="15"/>
  <c r="BA66" i="15"/>
  <c r="BA58" i="15"/>
  <c r="AV66" i="15"/>
  <c r="AV58" i="15"/>
  <c r="AW66" i="15"/>
  <c r="AW58" i="15"/>
  <c r="AZ66" i="15"/>
  <c r="AZ58" i="15"/>
  <c r="L37" i="14"/>
  <c r="M38" i="14"/>
  <c r="M37" i="14"/>
  <c r="M39" i="14"/>
  <c r="M35" i="14"/>
  <c r="N38" i="14"/>
  <c r="N37" i="14"/>
  <c r="N39" i="14"/>
  <c r="N35" i="14"/>
  <c r="P37" i="14"/>
  <c r="P38" i="14"/>
  <c r="P39" i="14"/>
  <c r="P35" i="14"/>
  <c r="AF37" i="14"/>
  <c r="AF38" i="14"/>
  <c r="AF39" i="14"/>
  <c r="AF35" i="14"/>
  <c r="W37" i="14"/>
  <c r="W38" i="14"/>
  <c r="W39" i="14"/>
  <c r="W35" i="14"/>
  <c r="Q38" i="14"/>
  <c r="Q37" i="14"/>
  <c r="Q39" i="14"/>
  <c r="Q35" i="14"/>
  <c r="AG38" i="14"/>
  <c r="AG37" i="14"/>
  <c r="AG39" i="14"/>
  <c r="AG35" i="14"/>
  <c r="AA37" i="14"/>
  <c r="AA38" i="14"/>
  <c r="AA35" i="14"/>
  <c r="AA39" i="14"/>
  <c r="R38" i="14"/>
  <c r="R37" i="14"/>
  <c r="R39" i="14"/>
  <c r="R35" i="14"/>
  <c r="AH38" i="14"/>
  <c r="AH37" i="14"/>
  <c r="AH35" i="14"/>
  <c r="AH39" i="14"/>
  <c r="O37" i="14"/>
  <c r="O38" i="14"/>
  <c r="O35" i="14"/>
  <c r="O39" i="14"/>
  <c r="K37" i="14"/>
  <c r="K38" i="14"/>
  <c r="K35" i="14"/>
  <c r="K39" i="14"/>
  <c r="AD37" i="14"/>
  <c r="AD38" i="14"/>
  <c r="AD39" i="14"/>
  <c r="AD35" i="14"/>
  <c r="AJ38" i="14"/>
  <c r="AJ37" i="14"/>
  <c r="AJ35" i="14"/>
  <c r="T37" i="14"/>
  <c r="T38" i="14"/>
  <c r="T35" i="14"/>
  <c r="T39" i="14"/>
  <c r="H37" i="14"/>
  <c r="H38" i="14"/>
  <c r="H39" i="14"/>
  <c r="H35" i="14"/>
  <c r="AI37" i="14"/>
  <c r="U38" i="14"/>
  <c r="U37" i="14"/>
  <c r="U39" i="14"/>
  <c r="U35" i="14"/>
  <c r="C37" i="14"/>
  <c r="C38" i="14"/>
  <c r="C39" i="14"/>
  <c r="C35" i="14"/>
  <c r="E38" i="14"/>
  <c r="E37" i="14"/>
  <c r="E39" i="14"/>
  <c r="E35" i="14"/>
  <c r="V37" i="14"/>
  <c r="V38" i="14"/>
  <c r="V39" i="14"/>
  <c r="V35" i="14"/>
  <c r="D37" i="14"/>
  <c r="D38" i="14"/>
  <c r="D39" i="14"/>
  <c r="D35" i="14"/>
  <c r="AB37" i="14"/>
  <c r="AB38" i="14"/>
  <c r="AB39" i="14"/>
  <c r="AB35" i="14"/>
  <c r="AC38" i="14"/>
  <c r="AC37" i="14"/>
  <c r="AC39" i="14"/>
  <c r="AC35" i="14"/>
  <c r="AE37" i="14"/>
  <c r="AE38" i="14"/>
  <c r="AE35" i="14"/>
  <c r="AE39" i="14"/>
  <c r="X38" i="14"/>
  <c r="X37" i="14"/>
  <c r="X39" i="14"/>
  <c r="X35" i="14"/>
  <c r="F38" i="14"/>
  <c r="F37" i="14"/>
  <c r="F35" i="14"/>
  <c r="F39" i="14"/>
  <c r="I38" i="14"/>
  <c r="I37" i="14"/>
  <c r="I35" i="14"/>
  <c r="I39" i="14"/>
  <c r="Y38" i="14"/>
  <c r="G37" i="14"/>
  <c r="G38" i="14"/>
  <c r="G35" i="14"/>
  <c r="G39" i="14"/>
  <c r="J37" i="14"/>
  <c r="J38" i="14"/>
  <c r="J39" i="14"/>
  <c r="J35" i="14"/>
  <c r="Z38" i="14"/>
  <c r="Z37" i="14"/>
  <c r="Z39" i="14"/>
  <c r="Z35" i="14"/>
  <c r="S37" i="14"/>
  <c r="AA31" i="15"/>
  <c r="CG31" i="15" s="1"/>
  <c r="C63" i="15"/>
  <c r="A46" i="15"/>
  <c r="E35" i="15"/>
  <c r="C47" i="15"/>
  <c r="C53" i="15"/>
  <c r="A39" i="15"/>
  <c r="C39" i="15" s="1"/>
  <c r="C27" i="15"/>
  <c r="C46" i="15"/>
  <c r="C45" i="15"/>
  <c r="C54" i="15"/>
  <c r="A43" i="15"/>
  <c r="C43" i="15" s="1"/>
  <c r="AA25" i="15"/>
  <c r="CG25" i="15" s="1"/>
  <c r="E29" i="15"/>
  <c r="A49" i="15"/>
  <c r="E24" i="15"/>
  <c r="AA20" i="15"/>
  <c r="CG20" i="15" s="1"/>
  <c r="AA26" i="15"/>
  <c r="CG26" i="15" s="1"/>
  <c r="E30" i="15"/>
  <c r="AX47" i="15"/>
  <c r="AX35" i="15"/>
  <c r="M23" i="15"/>
  <c r="AX23" i="15"/>
  <c r="M10" i="15"/>
  <c r="CS117" i="15"/>
  <c r="CQ125" i="15"/>
  <c r="CS125" i="15" s="1"/>
  <c r="CW105" i="15"/>
  <c r="CW109" i="15" s="1"/>
  <c r="CW121" i="15"/>
  <c r="CW125" i="15" s="1"/>
  <c r="CW113" i="15"/>
  <c r="CW117" i="15" s="1"/>
  <c r="CW106" i="15"/>
  <c r="CW110" i="15" s="1"/>
  <c r="CW114" i="15"/>
  <c r="CW118" i="15" s="1"/>
  <c r="CW122" i="15"/>
  <c r="CW126" i="15" s="1"/>
  <c r="CG9" i="15"/>
  <c r="CG8" i="15"/>
  <c r="N8" i="15"/>
  <c r="O8" i="15"/>
  <c r="CR7" i="15"/>
  <c r="CO7" i="15"/>
  <c r="CU7" i="15" s="1"/>
  <c r="CS7" i="15"/>
  <c r="CP7" i="15"/>
  <c r="CV7" i="15" s="1"/>
  <c r="CQ7" i="15"/>
  <c r="CN7" i="15"/>
  <c r="CT7" i="15" s="1"/>
  <c r="CG114" i="15"/>
  <c r="AX10" i="15"/>
  <c r="CG110" i="15"/>
  <c r="CG107" i="15"/>
  <c r="BZ52" i="15" l="1"/>
  <c r="BZ59" i="15"/>
  <c r="BZ12" i="15"/>
  <c r="CA18" i="15"/>
  <c r="BZ69" i="15"/>
  <c r="CA10" i="15"/>
  <c r="BZ21" i="15"/>
  <c r="BZ13" i="15"/>
  <c r="CA34" i="15"/>
  <c r="BZ68" i="15"/>
  <c r="BZ44" i="15"/>
  <c r="BZ19" i="15"/>
  <c r="CA29" i="15"/>
  <c r="BZ17" i="15"/>
  <c r="BZ30" i="15"/>
  <c r="BZ25" i="15"/>
  <c r="BZ62" i="15"/>
  <c r="BZ20" i="15"/>
  <c r="BZ70" i="15"/>
  <c r="CA46" i="15"/>
  <c r="BZ50" i="15"/>
  <c r="CA45" i="15"/>
  <c r="CA31" i="15"/>
  <c r="BZ36" i="15"/>
  <c r="CA41" i="15"/>
  <c r="CA22" i="15"/>
  <c r="BZ61" i="15"/>
  <c r="CA40" i="15"/>
  <c r="CA39" i="15"/>
  <c r="BZ28" i="15"/>
  <c r="BZ53" i="15"/>
  <c r="BZ71" i="15"/>
  <c r="BZ23" i="15"/>
  <c r="CA24" i="15"/>
  <c r="BZ60" i="15"/>
  <c r="BZ35" i="15"/>
  <c r="CA59" i="15"/>
  <c r="CA61" i="15"/>
  <c r="BZ18" i="15"/>
  <c r="CA44" i="15"/>
  <c r="BZ45" i="15"/>
  <c r="BZ51" i="15"/>
  <c r="BZ54" i="15"/>
  <c r="BZ43" i="15"/>
  <c r="CA23" i="15"/>
  <c r="CA30" i="15"/>
  <c r="BZ10" i="15"/>
  <c r="BZ9" i="15"/>
  <c r="CA52" i="15"/>
  <c r="CA43" i="15"/>
  <c r="CA33" i="15"/>
  <c r="CA60" i="15"/>
  <c r="BZ27" i="15"/>
  <c r="CA53" i="15"/>
  <c r="CA67" i="15"/>
  <c r="BZ42" i="15"/>
  <c r="CA13" i="15"/>
  <c r="BZ32" i="15"/>
  <c r="CA19" i="15"/>
  <c r="CA21" i="15"/>
  <c r="BZ55" i="15"/>
  <c r="CA54" i="15"/>
  <c r="BZ41" i="15"/>
  <c r="CA68" i="15"/>
  <c r="CA51" i="15"/>
  <c r="BZ48" i="15"/>
  <c r="CA25" i="15"/>
  <c r="CA26" i="15"/>
  <c r="CA36" i="15"/>
  <c r="CA28" i="15"/>
  <c r="CA69" i="15"/>
  <c r="CA11" i="15"/>
  <c r="BZ34" i="15"/>
  <c r="BZ37" i="15"/>
  <c r="CA63" i="15"/>
  <c r="CA17" i="15"/>
  <c r="BZ15" i="15"/>
  <c r="CA12" i="15"/>
  <c r="BZ14" i="15"/>
  <c r="BZ46" i="15"/>
  <c r="CA20" i="15"/>
  <c r="CA16" i="15"/>
  <c r="CA62" i="15"/>
  <c r="BZ26" i="15"/>
  <c r="BZ39" i="15"/>
  <c r="BZ29" i="15"/>
  <c r="CA50" i="15"/>
  <c r="CA49" i="15"/>
  <c r="CA70" i="15"/>
  <c r="BZ47" i="15"/>
  <c r="BZ24" i="15"/>
  <c r="CA14" i="15"/>
  <c r="CA38" i="15"/>
  <c r="BZ22" i="15"/>
  <c r="BZ33" i="15"/>
  <c r="BZ31" i="15"/>
  <c r="BZ40" i="15"/>
  <c r="CA42" i="15"/>
  <c r="BW8" i="15"/>
  <c r="BU8" i="15"/>
  <c r="BT8" i="15"/>
  <c r="BR8" i="15"/>
  <c r="BV8" i="15"/>
  <c r="BS8" i="15"/>
  <c r="J36" i="14"/>
  <c r="I36" i="14"/>
  <c r="F36" i="14"/>
  <c r="AE36" i="14"/>
  <c r="O36" i="14"/>
  <c r="AH36" i="14"/>
  <c r="K36" i="14"/>
  <c r="AA36" i="14"/>
  <c r="D36" i="14"/>
  <c r="E36" i="14"/>
  <c r="AB36" i="14"/>
  <c r="V36" i="14"/>
  <c r="R36" i="14"/>
  <c r="AG36" i="14"/>
  <c r="AF36" i="14"/>
  <c r="X36" i="14"/>
  <c r="AC36" i="14"/>
  <c r="U36" i="14"/>
  <c r="AD36" i="14"/>
  <c r="Q36" i="14"/>
  <c r="W36" i="14"/>
  <c r="P36" i="14"/>
  <c r="N36" i="14"/>
  <c r="M36" i="14"/>
  <c r="H36" i="14"/>
  <c r="L36" i="14"/>
  <c r="G36" i="14"/>
  <c r="S35" i="14"/>
  <c r="T36" i="14" s="1"/>
  <c r="Y35" i="14"/>
  <c r="Z36" i="14" s="1"/>
  <c r="AI39" i="14"/>
  <c r="S39" i="14"/>
  <c r="Y39" i="14"/>
  <c r="AI35" i="14"/>
  <c r="B38" i="14"/>
  <c r="B39" i="14"/>
  <c r="B37" i="14"/>
  <c r="B35" i="14"/>
  <c r="C36" i="14" s="1"/>
  <c r="AK37" i="14"/>
  <c r="AK38" i="14"/>
  <c r="AK35" i="14"/>
  <c r="AL36" i="14" s="1"/>
  <c r="AK39" i="14"/>
  <c r="AK36" i="14" s="1"/>
  <c r="AA63" i="15"/>
  <c r="CG63" i="15" s="1"/>
  <c r="E39" i="15"/>
  <c r="AA35" i="15"/>
  <c r="CG35" i="15" s="1"/>
  <c r="A51" i="15"/>
  <c r="C49" i="15"/>
  <c r="E34" i="15"/>
  <c r="AA30" i="15"/>
  <c r="CG30" i="15" s="1"/>
  <c r="A55" i="15"/>
  <c r="E33" i="15"/>
  <c r="AA29" i="15"/>
  <c r="CG29" i="15" s="1"/>
  <c r="E28" i="15"/>
  <c r="AA24" i="15"/>
  <c r="CG24" i="15" s="1"/>
  <c r="AX48" i="15"/>
  <c r="AX36" i="15"/>
  <c r="M24" i="15"/>
  <c r="AX24" i="15"/>
  <c r="M11" i="15"/>
  <c r="CG10" i="15"/>
  <c r="CG111" i="15"/>
  <c r="CG108" i="15"/>
  <c r="AX11" i="15"/>
  <c r="CG109" i="15"/>
  <c r="CG113" i="15"/>
  <c r="CG116" i="15"/>
  <c r="CA8" i="15" l="1"/>
  <c r="BZ8" i="15"/>
  <c r="Y36" i="14"/>
  <c r="B36" i="14"/>
  <c r="S36" i="14"/>
  <c r="AI36" i="14"/>
  <c r="E43" i="15"/>
  <c r="AA39" i="15"/>
  <c r="CG39" i="15" s="1"/>
  <c r="C55" i="15"/>
  <c r="C51" i="15"/>
  <c r="E38" i="15"/>
  <c r="AA34" i="15"/>
  <c r="CG34" i="15" s="1"/>
  <c r="E32" i="15"/>
  <c r="AA28" i="15"/>
  <c r="CG28" i="15" s="1"/>
  <c r="E37" i="15"/>
  <c r="AA33" i="15"/>
  <c r="CG33" i="15" s="1"/>
  <c r="AX49" i="15"/>
  <c r="AX37" i="15"/>
  <c r="M25" i="15"/>
  <c r="AX25" i="15"/>
  <c r="M12" i="15"/>
  <c r="AX13" i="15"/>
  <c r="CG11" i="15"/>
  <c r="AX12" i="15"/>
  <c r="CG115" i="15"/>
  <c r="CG112" i="15"/>
  <c r="E47" i="15" l="1"/>
  <c r="E51" i="15" s="1"/>
  <c r="AA43" i="15"/>
  <c r="CG43" i="15" s="1"/>
  <c r="E41" i="15"/>
  <c r="AA37" i="15"/>
  <c r="CG37" i="15" s="1"/>
  <c r="AA32" i="15"/>
  <c r="CG32" i="15" s="1"/>
  <c r="E36" i="15"/>
  <c r="E42" i="15"/>
  <c r="AA38" i="15"/>
  <c r="CG38" i="15" s="1"/>
  <c r="AX50" i="15"/>
  <c r="AX38" i="15"/>
  <c r="M26" i="15"/>
  <c r="AX26" i="15"/>
  <c r="M13" i="15"/>
  <c r="CG12" i="15"/>
  <c r="AX14" i="15"/>
  <c r="AA47" i="15" l="1"/>
  <c r="CG47" i="15" s="1"/>
  <c r="AA42" i="15"/>
  <c r="CG42" i="15" s="1"/>
  <c r="E46" i="15"/>
  <c r="E55" i="15"/>
  <c r="AA51" i="15"/>
  <c r="CG51" i="15" s="1"/>
  <c r="AA41" i="15"/>
  <c r="CG41" i="15" s="1"/>
  <c r="E45" i="15"/>
  <c r="AA36" i="15"/>
  <c r="CG36" i="15" s="1"/>
  <c r="E40" i="15"/>
  <c r="AX51" i="15"/>
  <c r="AX39" i="15"/>
  <c r="M27" i="15"/>
  <c r="AX27" i="15"/>
  <c r="M14" i="15"/>
  <c r="AX15" i="15"/>
  <c r="CG13" i="15"/>
  <c r="AZ300" i="1"/>
  <c r="AW300" i="1"/>
  <c r="AC300" i="1"/>
  <c r="AD300" i="1"/>
  <c r="AE300" i="1"/>
  <c r="AF300" i="1"/>
  <c r="AG300" i="1"/>
  <c r="AH300" i="1"/>
  <c r="AI300" i="1"/>
  <c r="AJ300" i="1"/>
  <c r="AK300" i="1"/>
  <c r="AL300" i="1"/>
  <c r="AM300" i="1"/>
  <c r="AN300" i="1"/>
  <c r="AB300" i="1"/>
  <c r="AA55" i="15" l="1"/>
  <c r="CG55" i="15" s="1"/>
  <c r="AA40" i="15"/>
  <c r="CG40" i="15" s="1"/>
  <c r="E44" i="15"/>
  <c r="E50" i="15"/>
  <c r="AA46" i="15"/>
  <c r="CG46" i="15" s="1"/>
  <c r="E49" i="15"/>
  <c r="AA45" i="15"/>
  <c r="CG45" i="15" s="1"/>
  <c r="AX52" i="15"/>
  <c r="AX40" i="15"/>
  <c r="AX28" i="15"/>
  <c r="M28" i="15"/>
  <c r="M15" i="15"/>
  <c r="AX16" i="15"/>
  <c r="CG14" i="15"/>
  <c r="D7" i="12"/>
  <c r="D12" i="12" s="1"/>
  <c r="D67" i="15" l="1"/>
  <c r="K67" i="15" s="1"/>
  <c r="D68" i="15"/>
  <c r="K68" i="15" s="1"/>
  <c r="D69" i="15"/>
  <c r="K69" i="15" s="1"/>
  <c r="D70" i="15"/>
  <c r="K70" i="15" s="1"/>
  <c r="D71" i="15"/>
  <c r="K71" i="15" s="1"/>
  <c r="D12" i="15"/>
  <c r="D8" i="15"/>
  <c r="D59" i="15"/>
  <c r="K59" i="15" s="1"/>
  <c r="D16" i="15"/>
  <c r="O5" i="14"/>
  <c r="D17" i="15"/>
  <c r="K17" i="15" s="1"/>
  <c r="D11" i="15"/>
  <c r="K11" i="15" s="1"/>
  <c r="D36" i="15"/>
  <c r="D38" i="15"/>
  <c r="K38" i="15" s="1"/>
  <c r="D60" i="15"/>
  <c r="K60" i="15" s="1"/>
  <c r="D13" i="15"/>
  <c r="K13" i="15" s="1"/>
  <c r="D30" i="15"/>
  <c r="K30" i="15" s="1"/>
  <c r="D18" i="15"/>
  <c r="K18" i="15" s="1"/>
  <c r="D9" i="15"/>
  <c r="K9" i="15" s="1"/>
  <c r="D40" i="15"/>
  <c r="D28" i="15"/>
  <c r="D10" i="15"/>
  <c r="K10" i="15" s="1"/>
  <c r="D20" i="15"/>
  <c r="D61" i="15"/>
  <c r="K61" i="15" s="1"/>
  <c r="D24" i="15"/>
  <c r="D32" i="15"/>
  <c r="D14" i="15"/>
  <c r="K14" i="15" s="1"/>
  <c r="D29" i="15"/>
  <c r="K29" i="15" s="1"/>
  <c r="L29" i="15" s="1"/>
  <c r="D21" i="15"/>
  <c r="K21" i="15" s="1"/>
  <c r="D35" i="15"/>
  <c r="K35" i="15" s="1"/>
  <c r="D26" i="15"/>
  <c r="K26" i="15" s="1"/>
  <c r="D62" i="15"/>
  <c r="K62" i="15" s="1"/>
  <c r="D50" i="15"/>
  <c r="K50" i="15" s="1"/>
  <c r="F50" i="15" s="1"/>
  <c r="Q50" i="15" s="1"/>
  <c r="D52" i="15"/>
  <c r="D48" i="15"/>
  <c r="D41" i="15"/>
  <c r="K41" i="15" s="1"/>
  <c r="D22" i="15"/>
  <c r="K22" i="15" s="1"/>
  <c r="D23" i="15"/>
  <c r="K23" i="15" s="1"/>
  <c r="D25" i="15"/>
  <c r="K25" i="15" s="1"/>
  <c r="D15" i="15"/>
  <c r="K15" i="15" s="1"/>
  <c r="D44" i="15"/>
  <c r="D33" i="15"/>
  <c r="K33" i="15" s="1"/>
  <c r="D34" i="15"/>
  <c r="K34" i="15" s="1"/>
  <c r="D19" i="15"/>
  <c r="K19" i="15" s="1"/>
  <c r="D42" i="15"/>
  <c r="K42" i="15" s="1"/>
  <c r="D27" i="15"/>
  <c r="K27" i="15" s="1"/>
  <c r="D63" i="15"/>
  <c r="K63" i="15" s="1"/>
  <c r="D37" i="15"/>
  <c r="K37" i="15" s="1"/>
  <c r="D54" i="15"/>
  <c r="K54" i="15" s="1"/>
  <c r="D53" i="15"/>
  <c r="K53" i="15" s="1"/>
  <c r="D31" i="15"/>
  <c r="K31" i="15" s="1"/>
  <c r="D47" i="15"/>
  <c r="K47" i="15" s="1"/>
  <c r="D45" i="15"/>
  <c r="K45" i="15" s="1"/>
  <c r="D46" i="15"/>
  <c r="K46" i="15" s="1"/>
  <c r="D49" i="15"/>
  <c r="K49" i="15" s="1"/>
  <c r="F49" i="15" s="1"/>
  <c r="Q49" i="15" s="1"/>
  <c r="D39" i="15"/>
  <c r="K39" i="15" s="1"/>
  <c r="D43" i="15"/>
  <c r="K43" i="15" s="1"/>
  <c r="D51" i="15"/>
  <c r="K51" i="15" s="1"/>
  <c r="D55" i="15"/>
  <c r="K55" i="15" s="1"/>
  <c r="F55" i="15" s="1"/>
  <c r="Q55" i="15" s="1"/>
  <c r="E53" i="15"/>
  <c r="AA49" i="15"/>
  <c r="CG49" i="15" s="1"/>
  <c r="E48" i="15"/>
  <c r="AA44" i="15"/>
  <c r="CG44" i="15" s="1"/>
  <c r="E54" i="15"/>
  <c r="AA50" i="15"/>
  <c r="CG50" i="15" s="1"/>
  <c r="AX53" i="15"/>
  <c r="AX41" i="15"/>
  <c r="AX29" i="15"/>
  <c r="M29" i="15"/>
  <c r="M16" i="15"/>
  <c r="CG15" i="15"/>
  <c r="AX17" i="15"/>
  <c r="AC3" i="1"/>
  <c r="AD3" i="1"/>
  <c r="AE3" i="1"/>
  <c r="AF3" i="1"/>
  <c r="AG3" i="1"/>
  <c r="AH3" i="1"/>
  <c r="AI3" i="1"/>
  <c r="AJ3" i="1"/>
  <c r="AK3" i="1"/>
  <c r="AL3" i="1"/>
  <c r="AM3" i="1"/>
  <c r="AN3" i="1"/>
  <c r="AB3" i="1"/>
  <c r="AA70" i="15" l="1"/>
  <c r="AA69" i="15"/>
  <c r="AA68" i="15"/>
  <c r="AA71" i="15"/>
  <c r="AA67" i="15"/>
  <c r="P39" i="15"/>
  <c r="L39" i="15"/>
  <c r="F39" i="15"/>
  <c r="Q39" i="15" s="1"/>
  <c r="L47" i="15"/>
  <c r="P47" i="15"/>
  <c r="F47" i="15"/>
  <c r="P37" i="15"/>
  <c r="L37" i="15"/>
  <c r="F37" i="15"/>
  <c r="P19" i="15"/>
  <c r="F19" i="15"/>
  <c r="Q19" i="15" s="1"/>
  <c r="P15" i="15"/>
  <c r="F15" i="15"/>
  <c r="Q15" i="15" s="1"/>
  <c r="L15" i="15"/>
  <c r="P41" i="15"/>
  <c r="L41" i="15"/>
  <c r="F41" i="15"/>
  <c r="F62" i="15"/>
  <c r="L62" i="15"/>
  <c r="P62" i="15"/>
  <c r="P29" i="15"/>
  <c r="F29" i="15"/>
  <c r="Q29" i="15" s="1"/>
  <c r="P61" i="15"/>
  <c r="F61" i="15"/>
  <c r="L61" i="15"/>
  <c r="K40" i="15"/>
  <c r="Z40" i="15"/>
  <c r="P13" i="15"/>
  <c r="F13" i="15"/>
  <c r="Q13" i="15" s="1"/>
  <c r="L13" i="15"/>
  <c r="P11" i="15"/>
  <c r="F11" i="15"/>
  <c r="L11" i="15"/>
  <c r="P59" i="15"/>
  <c r="L59" i="15"/>
  <c r="F59" i="15"/>
  <c r="P70" i="15"/>
  <c r="L70" i="15"/>
  <c r="F70" i="15"/>
  <c r="P55" i="15"/>
  <c r="L55" i="15"/>
  <c r="L49" i="15"/>
  <c r="S49" i="15" s="1"/>
  <c r="T49" i="15" s="1"/>
  <c r="AC49" i="15" s="1"/>
  <c r="P49" i="15"/>
  <c r="P31" i="15"/>
  <c r="F31" i="15"/>
  <c r="Q31" i="15" s="1"/>
  <c r="P63" i="15"/>
  <c r="L63" i="15"/>
  <c r="F63" i="15"/>
  <c r="P34" i="15"/>
  <c r="L34" i="15"/>
  <c r="F34" i="15"/>
  <c r="Q34" i="15" s="1"/>
  <c r="F25" i="15"/>
  <c r="P25" i="15"/>
  <c r="L25" i="15"/>
  <c r="K48" i="15"/>
  <c r="F48" i="15" s="1"/>
  <c r="Q48" i="15" s="1"/>
  <c r="Z48" i="15"/>
  <c r="F26" i="15"/>
  <c r="P26" i="15"/>
  <c r="L26" i="15"/>
  <c r="P14" i="15"/>
  <c r="F14" i="15"/>
  <c r="L14" i="15"/>
  <c r="K20" i="15"/>
  <c r="Z20" i="15"/>
  <c r="P9" i="15"/>
  <c r="L9" i="15"/>
  <c r="F9" i="15"/>
  <c r="P60" i="15"/>
  <c r="L60" i="15"/>
  <c r="F60" i="15"/>
  <c r="P17" i="15"/>
  <c r="F17" i="15"/>
  <c r="Q17" i="15" s="1"/>
  <c r="K8" i="15"/>
  <c r="Z8" i="15"/>
  <c r="P69" i="15"/>
  <c r="F69" i="15"/>
  <c r="L69" i="15"/>
  <c r="P51" i="15"/>
  <c r="L51" i="15"/>
  <c r="F51" i="15"/>
  <c r="Q51" i="15" s="1"/>
  <c r="P46" i="15"/>
  <c r="L46" i="15"/>
  <c r="F46" i="15"/>
  <c r="Q46" i="15" s="1"/>
  <c r="P53" i="15"/>
  <c r="L53" i="15"/>
  <c r="P27" i="15"/>
  <c r="F27" i="15"/>
  <c r="L27" i="15"/>
  <c r="L33" i="15"/>
  <c r="P33" i="15"/>
  <c r="F33" i="15"/>
  <c r="Q33" i="15" s="1"/>
  <c r="L23" i="15"/>
  <c r="P23" i="15"/>
  <c r="F23" i="15"/>
  <c r="K52" i="15"/>
  <c r="Z52" i="15"/>
  <c r="P35" i="15"/>
  <c r="L35" i="15"/>
  <c r="F35" i="15"/>
  <c r="Z32" i="15"/>
  <c r="K32" i="15"/>
  <c r="P10" i="15"/>
  <c r="F10" i="15"/>
  <c r="L10" i="15"/>
  <c r="P18" i="15"/>
  <c r="F18" i="15"/>
  <c r="Q18" i="15" s="1"/>
  <c r="P38" i="15"/>
  <c r="L38" i="15"/>
  <c r="F38" i="15"/>
  <c r="Q38" i="15" s="1"/>
  <c r="U3" i="14"/>
  <c r="X12" i="14"/>
  <c r="O7" i="14"/>
  <c r="O9" i="14" s="1"/>
  <c r="AJ40" i="14" s="1"/>
  <c r="K12" i="15"/>
  <c r="Z12" i="15"/>
  <c r="P68" i="15"/>
  <c r="F68" i="15"/>
  <c r="L68" i="15"/>
  <c r="P43" i="15"/>
  <c r="L43" i="15"/>
  <c r="F43" i="15"/>
  <c r="L45" i="15"/>
  <c r="P45" i="15"/>
  <c r="F45" i="15"/>
  <c r="Q45" i="15" s="1"/>
  <c r="P54" i="15"/>
  <c r="L54" i="15"/>
  <c r="L42" i="15"/>
  <c r="P42" i="15"/>
  <c r="F42" i="15"/>
  <c r="Q42" i="15" s="1"/>
  <c r="Z44" i="15"/>
  <c r="K44" i="15"/>
  <c r="P22" i="15"/>
  <c r="L22" i="15"/>
  <c r="F22" i="15"/>
  <c r="P50" i="15"/>
  <c r="L50" i="15"/>
  <c r="S50" i="15" s="1"/>
  <c r="T50" i="15" s="1"/>
  <c r="AC50" i="15" s="1"/>
  <c r="L21" i="15"/>
  <c r="F21" i="15"/>
  <c r="P21" i="15"/>
  <c r="Z24" i="15"/>
  <c r="K24" i="15"/>
  <c r="Z28" i="15"/>
  <c r="K28" i="15"/>
  <c r="P30" i="15"/>
  <c r="F30" i="15"/>
  <c r="Q30" i="15" s="1"/>
  <c r="Z36" i="15"/>
  <c r="K36" i="15"/>
  <c r="K16" i="15"/>
  <c r="Z16" i="15"/>
  <c r="P71" i="15"/>
  <c r="L71" i="15"/>
  <c r="F71" i="15"/>
  <c r="P67" i="15"/>
  <c r="F67" i="15"/>
  <c r="L67" i="15"/>
  <c r="F53" i="15"/>
  <c r="Q53" i="15" s="1"/>
  <c r="AA54" i="15"/>
  <c r="CG54" i="15" s="1"/>
  <c r="F54" i="15"/>
  <c r="Q54" i="15" s="1"/>
  <c r="E52" i="15"/>
  <c r="AA48" i="15"/>
  <c r="CG48" i="15" s="1"/>
  <c r="AA53" i="15"/>
  <c r="CG53" i="15" s="1"/>
  <c r="S55" i="15"/>
  <c r="T55" i="15" s="1"/>
  <c r="AC55" i="15" s="1"/>
  <c r="AX54" i="15"/>
  <c r="AX55" i="15"/>
  <c r="AX42" i="15"/>
  <c r="AX43" i="15"/>
  <c r="AX30" i="15"/>
  <c r="AX31" i="15"/>
  <c r="M31" i="15"/>
  <c r="M30" i="15"/>
  <c r="L31" i="15"/>
  <c r="L30" i="15"/>
  <c r="L17" i="15"/>
  <c r="M17" i="15"/>
  <c r="CG16" i="15"/>
  <c r="AX19" i="15"/>
  <c r="AX18" i="15"/>
  <c r="AT300" i="1" a="1"/>
  <c r="AT300" i="1" s="1"/>
  <c r="AV300" i="1" s="1"/>
  <c r="AS300" i="1" a="1"/>
  <c r="AS300" i="1" s="1"/>
  <c r="M15" i="12"/>
  <c r="L9" i="12"/>
  <c r="D4" i="12"/>
  <c r="E2" i="12" s="1"/>
  <c r="D9" i="12"/>
  <c r="E9" i="12" s="1"/>
  <c r="M4" i="12"/>
  <c r="L8" i="12" s="1"/>
  <c r="L10" i="12" s="1"/>
  <c r="E7" i="12"/>
  <c r="B41" i="14" l="1"/>
  <c r="Y41" i="14"/>
  <c r="W41" i="14"/>
  <c r="R41" i="14"/>
  <c r="T41" i="14"/>
  <c r="AG41" i="14"/>
  <c r="AE41" i="14"/>
  <c r="AC41" i="14"/>
  <c r="AA41" i="14"/>
  <c r="C41" i="14"/>
  <c r="AL41" i="14"/>
  <c r="I41" i="14"/>
  <c r="G41" i="14"/>
  <c r="AK41" i="14"/>
  <c r="S41" i="14"/>
  <c r="Q41" i="14"/>
  <c r="O41" i="14"/>
  <c r="M41" i="14"/>
  <c r="K41" i="14"/>
  <c r="V41" i="14"/>
  <c r="X41" i="14"/>
  <c r="AI41" i="14"/>
  <c r="U41" i="14"/>
  <c r="AD41" i="14"/>
  <c r="AF41" i="14"/>
  <c r="Z41" i="14"/>
  <c r="AB41" i="14"/>
  <c r="E41" i="14"/>
  <c r="F41" i="14"/>
  <c r="H41" i="14"/>
  <c r="AH41" i="14"/>
  <c r="AJ41" i="14"/>
  <c r="N41" i="14"/>
  <c r="P41" i="14"/>
  <c r="J41" i="14"/>
  <c r="L41" i="14"/>
  <c r="D41" i="14"/>
  <c r="S25" i="15"/>
  <c r="V25" i="15" s="1"/>
  <c r="CV30" i="15" a="1"/>
  <c r="CV30" i="15" s="1"/>
  <c r="S51" i="15"/>
  <c r="T51" i="15" s="1"/>
  <c r="U51" i="15" s="1"/>
  <c r="BX51" i="15" s="1"/>
  <c r="S67" i="15"/>
  <c r="AL70" i="15" s="1"/>
  <c r="S62" i="15"/>
  <c r="V62" i="15" s="1"/>
  <c r="S68" i="15"/>
  <c r="T68" i="15" s="1"/>
  <c r="U68" i="15" s="1"/>
  <c r="BX68" i="15" s="1"/>
  <c r="S15" i="15"/>
  <c r="S37" i="15"/>
  <c r="T37" i="15" s="1"/>
  <c r="U37" i="15" s="1"/>
  <c r="BX37" i="15" s="1"/>
  <c r="S21" i="15"/>
  <c r="V21" i="15" s="1"/>
  <c r="S22" i="15"/>
  <c r="V22" i="15" s="1"/>
  <c r="S43" i="15"/>
  <c r="V43" i="15" s="1"/>
  <c r="S38" i="15"/>
  <c r="T38" i="15" s="1"/>
  <c r="S23" i="15"/>
  <c r="V23" i="15" s="1"/>
  <c r="S60" i="15"/>
  <c r="T60" i="15" s="1"/>
  <c r="U60" i="15" s="1"/>
  <c r="BX60" i="15" s="1"/>
  <c r="S13" i="15"/>
  <c r="T13" i="15" s="1"/>
  <c r="U13" i="15" s="1"/>
  <c r="BX13" i="15" s="1"/>
  <c r="S39" i="15"/>
  <c r="T39" i="15" s="1"/>
  <c r="U39" i="15" s="1"/>
  <c r="BX39" i="15" s="1"/>
  <c r="S9" i="15"/>
  <c r="V9" i="15" s="1"/>
  <c r="S34" i="15"/>
  <c r="V34" i="15" s="1"/>
  <c r="S70" i="15"/>
  <c r="S59" i="15"/>
  <c r="T59" i="15" s="1"/>
  <c r="U59" i="15" s="1"/>
  <c r="BX59" i="15" s="1"/>
  <c r="S30" i="15"/>
  <c r="T30" i="15" s="1"/>
  <c r="S42" i="15"/>
  <c r="V42" i="15" s="1"/>
  <c r="CJ42" i="15" s="1"/>
  <c r="CH42" i="15" s="1"/>
  <c r="CY42" i="15" s="1"/>
  <c r="S11" i="15"/>
  <c r="T11" i="15" s="1"/>
  <c r="S61" i="15"/>
  <c r="T61" i="15" s="1"/>
  <c r="Q71" i="15"/>
  <c r="P24" i="15"/>
  <c r="F24" i="15"/>
  <c r="Q24" i="15" s="1"/>
  <c r="L24" i="15"/>
  <c r="Q43" i="15"/>
  <c r="Q68" i="15"/>
  <c r="P12" i="15"/>
  <c r="F12" i="15"/>
  <c r="L12" i="15"/>
  <c r="P32" i="15"/>
  <c r="L32" i="15"/>
  <c r="F32" i="15"/>
  <c r="S33" i="15"/>
  <c r="CV46" i="15" a="1"/>
  <c r="CV46" i="15" s="1"/>
  <c r="S69" i="15"/>
  <c r="T69" i="15" s="1"/>
  <c r="Q60" i="15"/>
  <c r="S14" i="15"/>
  <c r="T14" i="15" s="1"/>
  <c r="Q67" i="15"/>
  <c r="S71" i="15"/>
  <c r="P16" i="15"/>
  <c r="F16" i="15"/>
  <c r="Q16" i="15" s="1"/>
  <c r="L16" i="15"/>
  <c r="O22" i="14"/>
  <c r="O10" i="14"/>
  <c r="AJ39" i="14" s="1"/>
  <c r="AJ36" i="14" s="1"/>
  <c r="S10" i="15"/>
  <c r="T10" i="15" s="1"/>
  <c r="S27" i="15"/>
  <c r="T27" i="15" s="1"/>
  <c r="Q69" i="15"/>
  <c r="F8" i="15"/>
  <c r="P8" i="15"/>
  <c r="L8" i="15"/>
  <c r="Q14" i="15"/>
  <c r="Q26" i="15"/>
  <c r="CV34" i="15" a="1"/>
  <c r="CV34" i="15" s="1"/>
  <c r="BS103" i="15"/>
  <c r="P40" i="15"/>
  <c r="L40" i="15"/>
  <c r="F40" i="15"/>
  <c r="Q40" i="15" s="1"/>
  <c r="Q62" i="15"/>
  <c r="Q47" i="15"/>
  <c r="P36" i="15"/>
  <c r="L36" i="15"/>
  <c r="F36" i="15"/>
  <c r="Q36" i="15" s="1"/>
  <c r="P28" i="15"/>
  <c r="F28" i="15"/>
  <c r="L28" i="15"/>
  <c r="CV50" i="15" a="1"/>
  <c r="CV50" i="15" s="1"/>
  <c r="L44" i="15"/>
  <c r="P44" i="15"/>
  <c r="F44" i="15"/>
  <c r="Q44" i="15" s="1"/>
  <c r="T42" i="15"/>
  <c r="CV45" i="15" a="1"/>
  <c r="CV45" i="15" s="1"/>
  <c r="AK68" i="15"/>
  <c r="CG68" i="15"/>
  <c r="CV38" i="15" a="1"/>
  <c r="CV38" i="15" s="1"/>
  <c r="Q10" i="15"/>
  <c r="Q35" i="15"/>
  <c r="P52" i="15"/>
  <c r="L52" i="15"/>
  <c r="Q27" i="15"/>
  <c r="Q25" i="15"/>
  <c r="Q63" i="15"/>
  <c r="AK70" i="15"/>
  <c r="CG70" i="15"/>
  <c r="CF112" i="15" s="1"/>
  <c r="CV29" i="15" a="1"/>
  <c r="CV29" i="15" s="1"/>
  <c r="Q41" i="15"/>
  <c r="Q37" i="15"/>
  <c r="CV39" i="15" a="1"/>
  <c r="CV39" i="15" s="1"/>
  <c r="CV53" i="15" a="1"/>
  <c r="CV53" i="15" s="1"/>
  <c r="AK67" i="15"/>
  <c r="CG67" i="15"/>
  <c r="AK71" i="15"/>
  <c r="CG71" i="15"/>
  <c r="CF117" i="15" s="1"/>
  <c r="Q21" i="15"/>
  <c r="Q22" i="15"/>
  <c r="S45" i="15"/>
  <c r="S35" i="15"/>
  <c r="T35" i="15" s="1"/>
  <c r="Q23" i="15"/>
  <c r="CV33" i="15" a="1"/>
  <c r="CV33" i="15" s="1"/>
  <c r="S46" i="15"/>
  <c r="CV51" i="15" a="1"/>
  <c r="CV51" i="15" s="1"/>
  <c r="AK69" i="15"/>
  <c r="CG69" i="15"/>
  <c r="Q9" i="15"/>
  <c r="P20" i="15"/>
  <c r="L20" i="15"/>
  <c r="F20" i="15"/>
  <c r="Q20" i="15" s="1"/>
  <c r="S26" i="15"/>
  <c r="L48" i="15"/>
  <c r="S48" i="15" s="1"/>
  <c r="T48" i="15" s="1"/>
  <c r="AC48" i="15" s="1"/>
  <c r="P48" i="15"/>
  <c r="S63" i="15"/>
  <c r="T63" i="15" s="1"/>
  <c r="CV49" i="15" a="1"/>
  <c r="CV49" i="15" s="1"/>
  <c r="Q70" i="15"/>
  <c r="Q59" i="15"/>
  <c r="Q11" i="15"/>
  <c r="CV13" i="15" a="1"/>
  <c r="CV13" i="15" s="1"/>
  <c r="Q61" i="15"/>
  <c r="S41" i="15"/>
  <c r="T41" i="15" s="1"/>
  <c r="S47" i="15"/>
  <c r="T47" i="15" s="1"/>
  <c r="S29" i="15"/>
  <c r="AB50" i="15"/>
  <c r="V50" i="15"/>
  <c r="AB55" i="15"/>
  <c r="V55" i="15"/>
  <c r="AB49" i="15"/>
  <c r="V49" i="15"/>
  <c r="F52" i="15"/>
  <c r="Q52" i="15" s="1"/>
  <c r="S54" i="15"/>
  <c r="T54" i="15" s="1"/>
  <c r="AC54" i="15" s="1"/>
  <c r="AA52" i="15"/>
  <c r="CG52" i="15" s="1"/>
  <c r="S53" i="15"/>
  <c r="T53" i="15" s="1"/>
  <c r="AC53" i="15" s="1"/>
  <c r="W50" i="15"/>
  <c r="W49" i="15"/>
  <c r="CV54" i="15" a="1"/>
  <c r="CV54" i="15" s="1"/>
  <c r="W55" i="15"/>
  <c r="CV42" i="15" a="1"/>
  <c r="CV42" i="15" s="1"/>
  <c r="S31" i="15"/>
  <c r="T31" i="15" s="1"/>
  <c r="AC31" i="15" s="1"/>
  <c r="CV31" i="15" a="1"/>
  <c r="CV31" i="15" s="1"/>
  <c r="M19" i="15"/>
  <c r="M18" i="15"/>
  <c r="L18" i="15"/>
  <c r="L19" i="15"/>
  <c r="S17" i="15"/>
  <c r="V17" i="15" s="1"/>
  <c r="CG17" i="15"/>
  <c r="CV16" i="15" a="1"/>
  <c r="CV16" i="15" s="1"/>
  <c r="CV15" i="15" a="1"/>
  <c r="CV15" i="15" s="1"/>
  <c r="E8" i="12"/>
  <c r="D14" i="12"/>
  <c r="A300" i="1"/>
  <c r="L11" i="12"/>
  <c r="L12" i="12" s="1"/>
  <c r="H45" i="4"/>
  <c r="G26" i="4" a="1"/>
  <c r="G26" i="4" s="1"/>
  <c r="G27" i="4" a="1"/>
  <c r="G27" i="4" s="1"/>
  <c r="F27" i="4" a="1"/>
  <c r="F27" i="4" s="1"/>
  <c r="F26" i="4" a="1"/>
  <c r="F26" i="4" s="1"/>
  <c r="E45" i="4"/>
  <c r="V51" i="15" l="1"/>
  <c r="V30" i="15"/>
  <c r="T21" i="15"/>
  <c r="AR67" i="15"/>
  <c r="BL67" i="15" s="1"/>
  <c r="V11" i="15"/>
  <c r="DD11" i="15" s="1"/>
  <c r="T23" i="15"/>
  <c r="U23" i="15" s="1"/>
  <c r="BX23" i="15" s="1"/>
  <c r="T9" i="15"/>
  <c r="T25" i="15"/>
  <c r="AC25" i="15" s="1"/>
  <c r="CV14" i="15" a="1"/>
  <c r="CV14" i="15" s="1"/>
  <c r="T62" i="15"/>
  <c r="U62" i="15" s="1"/>
  <c r="BX62" i="15" s="1"/>
  <c r="T34" i="15"/>
  <c r="T22" i="15"/>
  <c r="U22" i="15" s="1"/>
  <c r="BX22" i="15" s="1"/>
  <c r="V61" i="15"/>
  <c r="CX61" i="15" s="1"/>
  <c r="V60" i="15"/>
  <c r="T43" i="15"/>
  <c r="AG43" i="15" s="1"/>
  <c r="CV10" i="15" a="1"/>
  <c r="CV10" i="15" s="1"/>
  <c r="T67" i="15"/>
  <c r="AG67" i="15" s="1"/>
  <c r="AL67" i="15"/>
  <c r="BF67" i="15" s="1"/>
  <c r="V37" i="15"/>
  <c r="DD37" i="15" s="1"/>
  <c r="CV27" i="15" a="1"/>
  <c r="CV27" i="15" s="1"/>
  <c r="AR68" i="15"/>
  <c r="BL68" i="15" s="1"/>
  <c r="V68" i="15"/>
  <c r="CX68" i="15" s="1"/>
  <c r="AL68" i="15"/>
  <c r="BF68" i="15" s="1"/>
  <c r="AL69" i="15"/>
  <c r="BF69" i="15" s="1"/>
  <c r="AR70" i="15"/>
  <c r="BL70" i="15" s="1"/>
  <c r="AL71" i="15"/>
  <c r="T70" i="15"/>
  <c r="AC70" i="15" s="1"/>
  <c r="V15" i="15"/>
  <c r="T15" i="15"/>
  <c r="S28" i="15"/>
  <c r="T28" i="15" s="1"/>
  <c r="U28" i="15" s="1"/>
  <c r="BX28" i="15" s="1"/>
  <c r="S24" i="15"/>
  <c r="T24" i="15" s="1"/>
  <c r="U24" i="15" s="1"/>
  <c r="BX24" i="15" s="1"/>
  <c r="CV60" i="15" a="1"/>
  <c r="CV60" i="15" s="1"/>
  <c r="V38" i="15"/>
  <c r="DP38" i="15" s="1"/>
  <c r="CX43" i="15"/>
  <c r="DJ43" i="15"/>
  <c r="DP43" i="15"/>
  <c r="DD43" i="15"/>
  <c r="V70" i="15"/>
  <c r="DJ70" i="15" s="1"/>
  <c r="V39" i="15"/>
  <c r="CJ39" i="15" s="1"/>
  <c r="CH39" i="15" s="1"/>
  <c r="CY39" i="15" s="1"/>
  <c r="V13" i="15"/>
  <c r="DJ13" i="15" s="1"/>
  <c r="V59" i="15"/>
  <c r="DD59" i="15" s="1"/>
  <c r="S20" i="15"/>
  <c r="V20" i="15" s="1"/>
  <c r="CV62" i="15" a="1"/>
  <c r="CV62" i="15" s="1"/>
  <c r="CV47" i="15" a="1"/>
  <c r="CV47" i="15" s="1"/>
  <c r="AG47" i="15"/>
  <c r="BA47" i="15" s="1"/>
  <c r="AE47" i="15"/>
  <c r="AY47" i="15" s="1"/>
  <c r="W47" i="15"/>
  <c r="AC47" i="15"/>
  <c r="DP70" i="15"/>
  <c r="W41" i="15"/>
  <c r="AE41" i="15"/>
  <c r="AY41" i="15" s="1"/>
  <c r="AC41" i="15"/>
  <c r="AB41" i="15" s="1"/>
  <c r="AV41" i="15" s="1"/>
  <c r="AG41" i="15"/>
  <c r="BA41" i="15" s="1"/>
  <c r="AC63" i="15"/>
  <c r="AB63" i="15" s="1"/>
  <c r="W63" i="15"/>
  <c r="AE63" i="15"/>
  <c r="AY63" i="15" s="1"/>
  <c r="AG63" i="15"/>
  <c r="BA63" i="15" s="1"/>
  <c r="AG35" i="15"/>
  <c r="BA35" i="15" s="1"/>
  <c r="AE35" i="15"/>
  <c r="W35" i="15"/>
  <c r="AC35" i="15"/>
  <c r="V29" i="15"/>
  <c r="T29" i="15"/>
  <c r="W11" i="15"/>
  <c r="AG11" i="15"/>
  <c r="BA11" i="15" s="1"/>
  <c r="AC11" i="15"/>
  <c r="AE11" i="15"/>
  <c r="AY11" i="15" s="1"/>
  <c r="CV48" i="15" a="1"/>
  <c r="CV48" i="15" s="1"/>
  <c r="AC37" i="15"/>
  <c r="W37" i="15"/>
  <c r="AG37" i="15"/>
  <c r="BA37" i="15" s="1"/>
  <c r="AE37" i="15"/>
  <c r="AY37" i="15" s="1"/>
  <c r="CJ11" i="15"/>
  <c r="CH11" i="15" s="1"/>
  <c r="CY11" i="15" s="1"/>
  <c r="W51" i="15"/>
  <c r="X51" i="15" s="1"/>
  <c r="AC51" i="15"/>
  <c r="AE51" i="15"/>
  <c r="AY51" i="15" s="1"/>
  <c r="AG51" i="15"/>
  <c r="BA51" i="15" s="1"/>
  <c r="CV52" i="15" a="1"/>
  <c r="CV52" i="15" s="1"/>
  <c r="DD42" i="15"/>
  <c r="DJ42" i="15"/>
  <c r="CX42" i="15"/>
  <c r="CZ42" i="15" s="1"/>
  <c r="DP42" i="15"/>
  <c r="CV44" i="15" a="1"/>
  <c r="CV44" i="15" s="1"/>
  <c r="CV21" i="15" a="1"/>
  <c r="CV21" i="15" s="1"/>
  <c r="S36" i="15"/>
  <c r="S40" i="15"/>
  <c r="W14" i="15"/>
  <c r="AC14" i="15"/>
  <c r="AE14" i="15"/>
  <c r="AG14" i="15"/>
  <c r="BA14" i="15" s="1"/>
  <c r="Q8" i="15"/>
  <c r="CJ38" i="15"/>
  <c r="CH38" i="15" s="1"/>
  <c r="CY38" i="15" s="1"/>
  <c r="DD38" i="15"/>
  <c r="CV22" i="15" a="1"/>
  <c r="CV22" i="15" s="1"/>
  <c r="V71" i="15"/>
  <c r="AR71" i="15"/>
  <c r="BL71" i="15" s="1"/>
  <c r="CV61" i="15" a="1"/>
  <c r="CV61" i="15" s="1"/>
  <c r="CV11" i="15" a="1"/>
  <c r="CV11" i="15" s="1"/>
  <c r="DJ34" i="15"/>
  <c r="DP34" i="15"/>
  <c r="CX34" i="15"/>
  <c r="DD34" i="15"/>
  <c r="CJ34" i="15"/>
  <c r="CH34" i="15" s="1"/>
  <c r="CY34" i="15" s="1"/>
  <c r="DD25" i="15"/>
  <c r="CJ25" i="15"/>
  <c r="CH25" i="15" s="1"/>
  <c r="CY25" i="15" s="1"/>
  <c r="DJ25" i="15"/>
  <c r="DP25" i="15"/>
  <c r="CX25" i="15"/>
  <c r="DP9" i="15"/>
  <c r="CJ9" i="15"/>
  <c r="DJ9" i="15"/>
  <c r="DD9" i="15"/>
  <c r="CX9" i="15"/>
  <c r="CH9" i="15"/>
  <c r="CY9" i="15" s="1"/>
  <c r="CV35" i="15" a="1"/>
  <c r="CV35" i="15" s="1"/>
  <c r="Q32" i="15"/>
  <c r="CJ21" i="15"/>
  <c r="CH21" i="15" s="1"/>
  <c r="CY21" i="15" s="1"/>
  <c r="DJ21" i="15"/>
  <c r="DD21" i="15"/>
  <c r="DP21" i="15"/>
  <c r="CX21" i="15"/>
  <c r="CZ21" i="15" s="1"/>
  <c r="T71" i="15"/>
  <c r="U71" i="15" s="1"/>
  <c r="BX71" i="15" s="1"/>
  <c r="V47" i="15"/>
  <c r="U47" i="15"/>
  <c r="BX47" i="15" s="1"/>
  <c r="AC61" i="15"/>
  <c r="AE61" i="15"/>
  <c r="AY61" i="15" s="1"/>
  <c r="W61" i="15"/>
  <c r="AG61" i="15"/>
  <c r="BA61" i="15" s="1"/>
  <c r="CV20" i="15" a="1"/>
  <c r="CV20" i="15" s="1"/>
  <c r="AC21" i="15"/>
  <c r="W21" i="15"/>
  <c r="AG21" i="15"/>
  <c r="BA21" i="15" s="1"/>
  <c r="AE21" i="15"/>
  <c r="AY21" i="15" s="1"/>
  <c r="CR113" i="15"/>
  <c r="CF102" i="15"/>
  <c r="CR105" i="15"/>
  <c r="U61" i="15"/>
  <c r="BX61" i="15" s="1"/>
  <c r="AC27" i="15"/>
  <c r="W27" i="15"/>
  <c r="AE27" i="15"/>
  <c r="AY27" i="15" s="1"/>
  <c r="AG27" i="15"/>
  <c r="BA27" i="15" s="1"/>
  <c r="S44" i="15"/>
  <c r="Q28" i="15"/>
  <c r="CV36" i="15" a="1"/>
  <c r="CV36" i="15" s="1"/>
  <c r="CV40" i="15" a="1"/>
  <c r="CV40" i="15" s="1"/>
  <c r="AC13" i="15"/>
  <c r="W13" i="15"/>
  <c r="AE13" i="15"/>
  <c r="AY13" i="15" s="1"/>
  <c r="AG13" i="15"/>
  <c r="BA13" i="15" s="1"/>
  <c r="CV25" i="15" a="1"/>
  <c r="CV25" i="15" s="1"/>
  <c r="DJ60" i="15"/>
  <c r="CX60" i="15"/>
  <c r="DP60" i="15"/>
  <c r="CJ60" i="15"/>
  <c r="CH60" i="15" s="1"/>
  <c r="CY60" i="15" s="1"/>
  <c r="DD60" i="15"/>
  <c r="AG69" i="15"/>
  <c r="AC69" i="15"/>
  <c r="AB69" i="15" s="1"/>
  <c r="W69" i="15"/>
  <c r="AE69" i="15"/>
  <c r="CJ23" i="15"/>
  <c r="CH23" i="15" s="1"/>
  <c r="CY23" i="15" s="1"/>
  <c r="DP23" i="15"/>
  <c r="CX23" i="15"/>
  <c r="DD23" i="15"/>
  <c r="DJ23" i="15"/>
  <c r="S16" i="15"/>
  <c r="AE67" i="15"/>
  <c r="DD62" i="15"/>
  <c r="CX62" i="15"/>
  <c r="DJ62" i="15"/>
  <c r="CJ62" i="15"/>
  <c r="CH62" i="15" s="1"/>
  <c r="CY62" i="15" s="1"/>
  <c r="DP62" i="15"/>
  <c r="CV26" i="15" a="1"/>
  <c r="CV26" i="15" s="1"/>
  <c r="AG60" i="15"/>
  <c r="BA60" i="15" s="1"/>
  <c r="AC60" i="15"/>
  <c r="AE60" i="15"/>
  <c r="AY60" i="15" s="1"/>
  <c r="W60" i="15"/>
  <c r="T33" i="15"/>
  <c r="U33" i="15" s="1"/>
  <c r="BX33" i="15" s="1"/>
  <c r="V33" i="15"/>
  <c r="S32" i="15"/>
  <c r="T32" i="15" s="1"/>
  <c r="W68" i="15"/>
  <c r="X68" i="15" s="1"/>
  <c r="AG68" i="15"/>
  <c r="AE68" i="15"/>
  <c r="AC68" i="15"/>
  <c r="DD22" i="15"/>
  <c r="CX22" i="15"/>
  <c r="DJ22" i="15"/>
  <c r="CJ22" i="15"/>
  <c r="CH22" i="15" s="1"/>
  <c r="CY22" i="15" s="1"/>
  <c r="DP22" i="15"/>
  <c r="AC59" i="15"/>
  <c r="AE59" i="15"/>
  <c r="AY59" i="15" s="1"/>
  <c r="AG59" i="15"/>
  <c r="BA59" i="15" s="1"/>
  <c r="W59" i="15"/>
  <c r="V26" i="15"/>
  <c r="AE9" i="15"/>
  <c r="AY9" i="15" s="1"/>
  <c r="W9" i="15"/>
  <c r="AC9" i="15"/>
  <c r="AG9" i="15"/>
  <c r="BA9" i="15" s="1"/>
  <c r="V46" i="15"/>
  <c r="T46" i="15"/>
  <c r="V45" i="15"/>
  <c r="T45" i="15"/>
  <c r="U45" i="15" s="1"/>
  <c r="BX45" i="15" s="1"/>
  <c r="CJ61" i="15"/>
  <c r="CH61" i="15" s="1"/>
  <c r="CY61" i="15" s="1"/>
  <c r="DP61" i="15"/>
  <c r="CF107" i="15"/>
  <c r="CR121" i="15"/>
  <c r="AC42" i="15"/>
  <c r="W42" i="15"/>
  <c r="AE42" i="15"/>
  <c r="AG42" i="15"/>
  <c r="BA42" i="15" s="1"/>
  <c r="U42" i="15"/>
  <c r="BX42" i="15" s="1"/>
  <c r="T26" i="15"/>
  <c r="S8" i="15"/>
  <c r="V8" i="15" s="1"/>
  <c r="V27" i="15"/>
  <c r="U27" i="15"/>
  <c r="BX27" i="15" s="1"/>
  <c r="V10" i="15"/>
  <c r="U10" i="15"/>
  <c r="BX10" i="15" s="1"/>
  <c r="AC38" i="15"/>
  <c r="W38" i="15"/>
  <c r="X38" i="15" s="1"/>
  <c r="AE38" i="15"/>
  <c r="AY38" i="15" s="1"/>
  <c r="AG38" i="15"/>
  <c r="BA38" i="15" s="1"/>
  <c r="CF98" i="15"/>
  <c r="CV63" i="15" a="1"/>
  <c r="CV63" i="15" s="1"/>
  <c r="AC34" i="15"/>
  <c r="W34" i="15"/>
  <c r="X34" i="15" s="1"/>
  <c r="AG34" i="15"/>
  <c r="BA34" i="15" s="1"/>
  <c r="AE34" i="15"/>
  <c r="AY34" i="15" s="1"/>
  <c r="V14" i="15"/>
  <c r="U14" i="15"/>
  <c r="BX14" i="15" s="1"/>
  <c r="CV23" i="15" a="1"/>
  <c r="CV23" i="15" s="1"/>
  <c r="S12" i="15"/>
  <c r="U21" i="15"/>
  <c r="BX21" i="15" s="1"/>
  <c r="BF71" i="15"/>
  <c r="V67" i="15"/>
  <c r="V41" i="15"/>
  <c r="U41" i="15"/>
  <c r="BX41" i="15" s="1"/>
  <c r="V63" i="15"/>
  <c r="U63" i="15"/>
  <c r="BX63" i="15" s="1"/>
  <c r="V35" i="15"/>
  <c r="U35" i="15"/>
  <c r="BX35" i="15" s="1"/>
  <c r="U11" i="15"/>
  <c r="BX11" i="15" s="1"/>
  <c r="DJ51" i="15"/>
  <c r="CJ51" i="15"/>
  <c r="CH51" i="15" s="1"/>
  <c r="CY51" i="15" s="1"/>
  <c r="CX51" i="15"/>
  <c r="DP51" i="15"/>
  <c r="DD51" i="15"/>
  <c r="W10" i="15"/>
  <c r="AC10" i="15"/>
  <c r="AG10" i="15"/>
  <c r="BA10" i="15" s="1"/>
  <c r="AE10" i="15"/>
  <c r="AY10" i="15" s="1"/>
  <c r="AC39" i="15"/>
  <c r="W39" i="15"/>
  <c r="AE39" i="15"/>
  <c r="AY39" i="15" s="1"/>
  <c r="AG39" i="15"/>
  <c r="BA39" i="15" s="1"/>
  <c r="CV59" i="15" a="1"/>
  <c r="CV59" i="15" s="1"/>
  <c r="CV9" i="15" a="1"/>
  <c r="CV9" i="15" s="1"/>
  <c r="U38" i="15"/>
  <c r="BX38" i="15" s="1"/>
  <c r="AN39" i="14"/>
  <c r="AO39" i="14" s="1"/>
  <c r="CV37" i="15" a="1"/>
  <c r="CV37" i="15" s="1"/>
  <c r="AM70" i="15"/>
  <c r="BG70" i="15" s="1"/>
  <c r="U34" i="15"/>
  <c r="BX34" i="15" s="1"/>
  <c r="U9" i="15"/>
  <c r="BX9" i="15" s="1"/>
  <c r="V69" i="15"/>
  <c r="AR69" i="15"/>
  <c r="BL69" i="15" s="1"/>
  <c r="U69" i="15"/>
  <c r="BX69" i="15" s="1"/>
  <c r="Q12" i="15"/>
  <c r="T12" i="15"/>
  <c r="CV24" i="15" a="1"/>
  <c r="CV24" i="15" s="1"/>
  <c r="BF70" i="15"/>
  <c r="CV41" i="15" a="1"/>
  <c r="CV41" i="15" s="1"/>
  <c r="W30" i="15"/>
  <c r="DA30" i="15" s="1"/>
  <c r="AC30" i="15"/>
  <c r="AB30" i="15" s="1"/>
  <c r="W54" i="15"/>
  <c r="T17" i="15"/>
  <c r="AB48" i="15"/>
  <c r="V48" i="15"/>
  <c r="AB53" i="15"/>
  <c r="V53" i="15"/>
  <c r="AB31" i="15"/>
  <c r="V31" i="15"/>
  <c r="AB54" i="15"/>
  <c r="AV54" i="15" s="1"/>
  <c r="V54" i="15"/>
  <c r="CX54" i="15" s="1"/>
  <c r="AE55" i="15"/>
  <c r="U49" i="15"/>
  <c r="AE49" i="15"/>
  <c r="U50" i="15"/>
  <c r="AE50" i="15"/>
  <c r="AG30" i="15"/>
  <c r="AE30" i="15"/>
  <c r="AY30" i="15" s="1"/>
  <c r="AW54" i="15"/>
  <c r="AE54" i="15"/>
  <c r="AW49" i="15"/>
  <c r="DJ50" i="15"/>
  <c r="DP50" i="15"/>
  <c r="CX50" i="15"/>
  <c r="DD50" i="15"/>
  <c r="CJ50" i="15"/>
  <c r="CH50" i="15" s="1"/>
  <c r="CY50" i="15" s="1"/>
  <c r="W48" i="15"/>
  <c r="W53" i="15"/>
  <c r="S52" i="15"/>
  <c r="T52" i="15" s="1"/>
  <c r="AC52" i="15" s="1"/>
  <c r="AG49" i="15"/>
  <c r="AG50" i="15"/>
  <c r="CX49" i="15"/>
  <c r="DD49" i="15"/>
  <c r="DJ49" i="15"/>
  <c r="CJ49" i="15"/>
  <c r="CH49" i="15" s="1"/>
  <c r="CY49" i="15" s="1"/>
  <c r="DP49" i="15"/>
  <c r="X55" i="15"/>
  <c r="AG55" i="15"/>
  <c r="AG54" i="15"/>
  <c r="U54" i="15"/>
  <c r="CJ55" i="15"/>
  <c r="CH55" i="15" s="1"/>
  <c r="CY55" i="15" s="1"/>
  <c r="DP55" i="15"/>
  <c r="DD55" i="15"/>
  <c r="CX55" i="15"/>
  <c r="DJ55" i="15"/>
  <c r="U55" i="15"/>
  <c r="CV55" i="15" a="1"/>
  <c r="CV55" i="15" s="1"/>
  <c r="CV43" i="15" a="1"/>
  <c r="CV43" i="15" s="1"/>
  <c r="CJ43" i="15"/>
  <c r="U30" i="15"/>
  <c r="DJ30" i="15"/>
  <c r="CX30" i="15"/>
  <c r="CJ30" i="15"/>
  <c r="CH30" i="15" s="1"/>
  <c r="CY30" i="15" s="1"/>
  <c r="DP30" i="15"/>
  <c r="DD30" i="15"/>
  <c r="W31" i="15"/>
  <c r="S19" i="15"/>
  <c r="T19" i="15" s="1"/>
  <c r="AC19" i="15" s="1"/>
  <c r="CG18" i="15"/>
  <c r="CV17" i="15" a="1"/>
  <c r="CV17" i="15" s="1"/>
  <c r="CG19" i="15"/>
  <c r="S18" i="15"/>
  <c r="V18" i="15" s="1"/>
  <c r="E284" i="1"/>
  <c r="V284" i="1" s="1"/>
  <c r="E280" i="1"/>
  <c r="V280" i="1" s="1"/>
  <c r="E276" i="1"/>
  <c r="V276" i="1" s="1"/>
  <c r="E272" i="1"/>
  <c r="V272" i="1" s="1"/>
  <c r="E268" i="1"/>
  <c r="V268" i="1" s="1"/>
  <c r="E264" i="1"/>
  <c r="V264" i="1" s="1"/>
  <c r="E260" i="1"/>
  <c r="V260" i="1" s="1"/>
  <c r="E256" i="1"/>
  <c r="V256" i="1" s="1"/>
  <c r="E252" i="1"/>
  <c r="V252" i="1" s="1"/>
  <c r="E248" i="1"/>
  <c r="V248" i="1" s="1"/>
  <c r="E244" i="1"/>
  <c r="V244" i="1" s="1"/>
  <c r="E240" i="1"/>
  <c r="V240" i="1" s="1"/>
  <c r="E236" i="1"/>
  <c r="V236" i="1" s="1"/>
  <c r="E232" i="1"/>
  <c r="V232" i="1" s="1"/>
  <c r="E228" i="1"/>
  <c r="V228" i="1" s="1"/>
  <c r="E224" i="1"/>
  <c r="V224" i="1" s="1"/>
  <c r="E220" i="1"/>
  <c r="V220" i="1" s="1"/>
  <c r="E216" i="1"/>
  <c r="V216" i="1" s="1"/>
  <c r="E212" i="1"/>
  <c r="V212" i="1" s="1"/>
  <c r="E208" i="1"/>
  <c r="V208" i="1" s="1"/>
  <c r="E204" i="1"/>
  <c r="V204" i="1" s="1"/>
  <c r="E200" i="1"/>
  <c r="V200" i="1" s="1"/>
  <c r="E196" i="1"/>
  <c r="V196" i="1" s="1"/>
  <c r="E192" i="1"/>
  <c r="V192" i="1" s="1"/>
  <c r="E188" i="1"/>
  <c r="V188" i="1" s="1"/>
  <c r="E184" i="1"/>
  <c r="V184" i="1" s="1"/>
  <c r="E180" i="1"/>
  <c r="V180" i="1" s="1"/>
  <c r="E176" i="1"/>
  <c r="V176" i="1" s="1"/>
  <c r="E172" i="1"/>
  <c r="V172" i="1" s="1"/>
  <c r="E168" i="1"/>
  <c r="V168" i="1" s="1"/>
  <c r="E164" i="1"/>
  <c r="V164" i="1" s="1"/>
  <c r="E160" i="1"/>
  <c r="V160" i="1" s="1"/>
  <c r="E156" i="1"/>
  <c r="V156" i="1" s="1"/>
  <c r="E152" i="1"/>
  <c r="V152" i="1" s="1"/>
  <c r="E148" i="1"/>
  <c r="V148" i="1" s="1"/>
  <c r="E144" i="1"/>
  <c r="V144" i="1" s="1"/>
  <c r="E140" i="1"/>
  <c r="V140" i="1" s="1"/>
  <c r="E136" i="1"/>
  <c r="V136" i="1" s="1"/>
  <c r="E132" i="1"/>
  <c r="V132" i="1" s="1"/>
  <c r="E128" i="1"/>
  <c r="V128" i="1" s="1"/>
  <c r="E124" i="1"/>
  <c r="V124" i="1" s="1"/>
  <c r="E120" i="1"/>
  <c r="V120" i="1" s="1"/>
  <c r="E116" i="1"/>
  <c r="V116" i="1" s="1"/>
  <c r="E112" i="1"/>
  <c r="V112" i="1" s="1"/>
  <c r="E108" i="1"/>
  <c r="V108" i="1" s="1"/>
  <c r="E104" i="1"/>
  <c r="V104" i="1" s="1"/>
  <c r="E100" i="1"/>
  <c r="V100" i="1" s="1"/>
  <c r="E96" i="1"/>
  <c r="V96" i="1" s="1"/>
  <c r="E92" i="1"/>
  <c r="V92" i="1" s="1"/>
  <c r="E88" i="1"/>
  <c r="V88" i="1" s="1"/>
  <c r="E84" i="1"/>
  <c r="V84" i="1" s="1"/>
  <c r="E80" i="1"/>
  <c r="V80" i="1" s="1"/>
  <c r="E76" i="1"/>
  <c r="V76" i="1" s="1"/>
  <c r="E72" i="1"/>
  <c r="V72" i="1" s="1"/>
  <c r="E68" i="1"/>
  <c r="V68" i="1" s="1"/>
  <c r="E64" i="1"/>
  <c r="V64" i="1" s="1"/>
  <c r="E60" i="1"/>
  <c r="V60" i="1" s="1"/>
  <c r="E56" i="1"/>
  <c r="V56" i="1" s="1"/>
  <c r="E52" i="1"/>
  <c r="V52" i="1" s="1"/>
  <c r="E48" i="1"/>
  <c r="V48" i="1" s="1"/>
  <c r="E44" i="1"/>
  <c r="V44" i="1" s="1"/>
  <c r="E40" i="1"/>
  <c r="V40" i="1" s="1"/>
  <c r="E36" i="1"/>
  <c r="V36" i="1" s="1"/>
  <c r="E32" i="1"/>
  <c r="V32" i="1" s="1"/>
  <c r="E28" i="1"/>
  <c r="V28" i="1" s="1"/>
  <c r="E24" i="1"/>
  <c r="V24" i="1" s="1"/>
  <c r="E20" i="1"/>
  <c r="V20" i="1" s="1"/>
  <c r="E16" i="1"/>
  <c r="V16" i="1" s="1"/>
  <c r="E12" i="1"/>
  <c r="V12" i="1" s="1"/>
  <c r="E8" i="1"/>
  <c r="V8" i="1" s="1"/>
  <c r="E4" i="1"/>
  <c r="V4" i="1" s="1"/>
  <c r="L300" i="1"/>
  <c r="E273" i="1"/>
  <c r="V273" i="1" s="1"/>
  <c r="E237" i="1"/>
  <c r="V237" i="1" s="1"/>
  <c r="E217" i="1"/>
  <c r="V217" i="1" s="1"/>
  <c r="E205" i="1"/>
  <c r="V205" i="1" s="1"/>
  <c r="E193" i="1"/>
  <c r="V193" i="1" s="1"/>
  <c r="E181" i="1"/>
  <c r="V181" i="1" s="1"/>
  <c r="E169" i="1"/>
  <c r="V169" i="1" s="1"/>
  <c r="E157" i="1"/>
  <c r="V157" i="1" s="1"/>
  <c r="E145" i="1"/>
  <c r="V145" i="1" s="1"/>
  <c r="E283" i="1"/>
  <c r="V283" i="1" s="1"/>
  <c r="E279" i="1"/>
  <c r="V279" i="1" s="1"/>
  <c r="E275" i="1"/>
  <c r="V275" i="1" s="1"/>
  <c r="E271" i="1"/>
  <c r="V271" i="1" s="1"/>
  <c r="E267" i="1"/>
  <c r="V267" i="1" s="1"/>
  <c r="E263" i="1"/>
  <c r="V263" i="1" s="1"/>
  <c r="E259" i="1"/>
  <c r="V259" i="1" s="1"/>
  <c r="E255" i="1"/>
  <c r="V255" i="1" s="1"/>
  <c r="E251" i="1"/>
  <c r="V251" i="1" s="1"/>
  <c r="E247" i="1"/>
  <c r="V247" i="1" s="1"/>
  <c r="E243" i="1"/>
  <c r="V243" i="1" s="1"/>
  <c r="E239" i="1"/>
  <c r="V239" i="1" s="1"/>
  <c r="E235" i="1"/>
  <c r="V235" i="1" s="1"/>
  <c r="E231" i="1"/>
  <c r="V231" i="1" s="1"/>
  <c r="E227" i="1"/>
  <c r="V227" i="1" s="1"/>
  <c r="E223" i="1"/>
  <c r="V223" i="1" s="1"/>
  <c r="E219" i="1"/>
  <c r="V219" i="1" s="1"/>
  <c r="E215" i="1"/>
  <c r="V215" i="1" s="1"/>
  <c r="E211" i="1"/>
  <c r="V211" i="1" s="1"/>
  <c r="E207" i="1"/>
  <c r="V207" i="1" s="1"/>
  <c r="E203" i="1"/>
  <c r="V203" i="1" s="1"/>
  <c r="E199" i="1"/>
  <c r="V199" i="1" s="1"/>
  <c r="E195" i="1"/>
  <c r="V195" i="1" s="1"/>
  <c r="E191" i="1"/>
  <c r="V191" i="1" s="1"/>
  <c r="E187" i="1"/>
  <c r="V187" i="1" s="1"/>
  <c r="E183" i="1"/>
  <c r="V183" i="1" s="1"/>
  <c r="E179" i="1"/>
  <c r="V179" i="1" s="1"/>
  <c r="E175" i="1"/>
  <c r="V175" i="1" s="1"/>
  <c r="E171" i="1"/>
  <c r="V171" i="1" s="1"/>
  <c r="E167" i="1"/>
  <c r="V167" i="1" s="1"/>
  <c r="E163" i="1"/>
  <c r="V163" i="1" s="1"/>
  <c r="E159" i="1"/>
  <c r="V159" i="1" s="1"/>
  <c r="E155" i="1"/>
  <c r="V155" i="1" s="1"/>
  <c r="E151" i="1"/>
  <c r="V151" i="1" s="1"/>
  <c r="E147" i="1"/>
  <c r="V147" i="1" s="1"/>
  <c r="E143" i="1"/>
  <c r="V143" i="1" s="1"/>
  <c r="E139" i="1"/>
  <c r="V139" i="1" s="1"/>
  <c r="E135" i="1"/>
  <c r="V135" i="1" s="1"/>
  <c r="E131" i="1"/>
  <c r="V131" i="1" s="1"/>
  <c r="E127" i="1"/>
  <c r="V127" i="1" s="1"/>
  <c r="E123" i="1"/>
  <c r="V123" i="1" s="1"/>
  <c r="E119" i="1"/>
  <c r="V119" i="1" s="1"/>
  <c r="E115" i="1"/>
  <c r="V115" i="1" s="1"/>
  <c r="E111" i="1"/>
  <c r="V111" i="1" s="1"/>
  <c r="E107" i="1"/>
  <c r="V107" i="1" s="1"/>
  <c r="E103" i="1"/>
  <c r="V103" i="1" s="1"/>
  <c r="E99" i="1"/>
  <c r="V99" i="1" s="1"/>
  <c r="E95" i="1"/>
  <c r="V95" i="1" s="1"/>
  <c r="E91" i="1"/>
  <c r="V91" i="1" s="1"/>
  <c r="E87" i="1"/>
  <c r="V87" i="1" s="1"/>
  <c r="E83" i="1"/>
  <c r="V83" i="1" s="1"/>
  <c r="E79" i="1"/>
  <c r="V79" i="1" s="1"/>
  <c r="E75" i="1"/>
  <c r="V75" i="1" s="1"/>
  <c r="E71" i="1"/>
  <c r="V71" i="1" s="1"/>
  <c r="E67" i="1"/>
  <c r="V67" i="1" s="1"/>
  <c r="E63" i="1"/>
  <c r="V63" i="1" s="1"/>
  <c r="E59" i="1"/>
  <c r="V59" i="1" s="1"/>
  <c r="E55" i="1"/>
  <c r="V55" i="1" s="1"/>
  <c r="E51" i="1"/>
  <c r="V51" i="1" s="1"/>
  <c r="E47" i="1"/>
  <c r="V47" i="1" s="1"/>
  <c r="E43" i="1"/>
  <c r="V43" i="1" s="1"/>
  <c r="E39" i="1"/>
  <c r="V39" i="1" s="1"/>
  <c r="E35" i="1"/>
  <c r="V35" i="1" s="1"/>
  <c r="E31" i="1"/>
  <c r="V31" i="1" s="1"/>
  <c r="E27" i="1"/>
  <c r="V27" i="1" s="1"/>
  <c r="E23" i="1"/>
  <c r="V23" i="1" s="1"/>
  <c r="E19" i="1"/>
  <c r="V19" i="1" s="1"/>
  <c r="E15" i="1"/>
  <c r="V15" i="1" s="1"/>
  <c r="E11" i="1"/>
  <c r="V11" i="1" s="1"/>
  <c r="E7" i="1"/>
  <c r="V7" i="1" s="1"/>
  <c r="G300" i="1"/>
  <c r="H300" i="1"/>
  <c r="E277" i="1"/>
  <c r="V277" i="1" s="1"/>
  <c r="E265" i="1"/>
  <c r="V265" i="1" s="1"/>
  <c r="E261" i="1"/>
  <c r="V261" i="1" s="1"/>
  <c r="E249" i="1"/>
  <c r="V249" i="1" s="1"/>
  <c r="E241" i="1"/>
  <c r="V241" i="1" s="1"/>
  <c r="E229" i="1"/>
  <c r="V229" i="1" s="1"/>
  <c r="E225" i="1"/>
  <c r="V225" i="1" s="1"/>
  <c r="E213" i="1"/>
  <c r="V213" i="1" s="1"/>
  <c r="E201" i="1"/>
  <c r="V201" i="1" s="1"/>
  <c r="E189" i="1"/>
  <c r="V189" i="1" s="1"/>
  <c r="E177" i="1"/>
  <c r="V177" i="1" s="1"/>
  <c r="E161" i="1"/>
  <c r="V161" i="1" s="1"/>
  <c r="E149" i="1"/>
  <c r="V149" i="1" s="1"/>
  <c r="E282" i="1"/>
  <c r="V282" i="1" s="1"/>
  <c r="E278" i="1"/>
  <c r="V278" i="1" s="1"/>
  <c r="E274" i="1"/>
  <c r="V274" i="1" s="1"/>
  <c r="E270" i="1"/>
  <c r="V270" i="1" s="1"/>
  <c r="E266" i="1"/>
  <c r="V266" i="1" s="1"/>
  <c r="E262" i="1"/>
  <c r="V262" i="1" s="1"/>
  <c r="E258" i="1"/>
  <c r="V258" i="1" s="1"/>
  <c r="E254" i="1"/>
  <c r="V254" i="1" s="1"/>
  <c r="E250" i="1"/>
  <c r="V250" i="1" s="1"/>
  <c r="E246" i="1"/>
  <c r="V246" i="1" s="1"/>
  <c r="E242" i="1"/>
  <c r="V242" i="1" s="1"/>
  <c r="E238" i="1"/>
  <c r="V238" i="1" s="1"/>
  <c r="E234" i="1"/>
  <c r="V234" i="1" s="1"/>
  <c r="E230" i="1"/>
  <c r="V230" i="1" s="1"/>
  <c r="E226" i="1"/>
  <c r="V226" i="1" s="1"/>
  <c r="E222" i="1"/>
  <c r="V222" i="1" s="1"/>
  <c r="E218" i="1"/>
  <c r="V218" i="1" s="1"/>
  <c r="E214" i="1"/>
  <c r="V214" i="1" s="1"/>
  <c r="E210" i="1"/>
  <c r="V210" i="1" s="1"/>
  <c r="E206" i="1"/>
  <c r="V206" i="1" s="1"/>
  <c r="E202" i="1"/>
  <c r="V202" i="1" s="1"/>
  <c r="E198" i="1"/>
  <c r="V198" i="1" s="1"/>
  <c r="E194" i="1"/>
  <c r="V194" i="1" s="1"/>
  <c r="E190" i="1"/>
  <c r="V190" i="1" s="1"/>
  <c r="E186" i="1"/>
  <c r="V186" i="1" s="1"/>
  <c r="E182" i="1"/>
  <c r="V182" i="1" s="1"/>
  <c r="E178" i="1"/>
  <c r="V178" i="1" s="1"/>
  <c r="E174" i="1"/>
  <c r="V174" i="1" s="1"/>
  <c r="E170" i="1"/>
  <c r="V170" i="1" s="1"/>
  <c r="E166" i="1"/>
  <c r="V166" i="1" s="1"/>
  <c r="E162" i="1"/>
  <c r="V162" i="1" s="1"/>
  <c r="E158" i="1"/>
  <c r="V158" i="1" s="1"/>
  <c r="E154" i="1"/>
  <c r="V154" i="1" s="1"/>
  <c r="E150" i="1"/>
  <c r="V150" i="1" s="1"/>
  <c r="E146" i="1"/>
  <c r="V146" i="1" s="1"/>
  <c r="E142" i="1"/>
  <c r="V142" i="1" s="1"/>
  <c r="E138" i="1"/>
  <c r="V138" i="1" s="1"/>
  <c r="E134" i="1"/>
  <c r="V134" i="1" s="1"/>
  <c r="E130" i="1"/>
  <c r="V130" i="1" s="1"/>
  <c r="E126" i="1"/>
  <c r="V126" i="1" s="1"/>
  <c r="E122" i="1"/>
  <c r="V122" i="1" s="1"/>
  <c r="E118" i="1"/>
  <c r="V118" i="1" s="1"/>
  <c r="E114" i="1"/>
  <c r="V114" i="1" s="1"/>
  <c r="E110" i="1"/>
  <c r="V110" i="1" s="1"/>
  <c r="E106" i="1"/>
  <c r="V106" i="1" s="1"/>
  <c r="E102" i="1"/>
  <c r="V102" i="1" s="1"/>
  <c r="E98" i="1"/>
  <c r="V98" i="1" s="1"/>
  <c r="E94" i="1"/>
  <c r="V94" i="1" s="1"/>
  <c r="E90" i="1"/>
  <c r="V90" i="1" s="1"/>
  <c r="E86" i="1"/>
  <c r="V86" i="1" s="1"/>
  <c r="E82" i="1"/>
  <c r="V82" i="1" s="1"/>
  <c r="E78" i="1"/>
  <c r="V78" i="1" s="1"/>
  <c r="E74" i="1"/>
  <c r="V74" i="1" s="1"/>
  <c r="E70" i="1"/>
  <c r="V70" i="1" s="1"/>
  <c r="E66" i="1"/>
  <c r="V66" i="1" s="1"/>
  <c r="E62" i="1"/>
  <c r="V62" i="1" s="1"/>
  <c r="E58" i="1"/>
  <c r="V58" i="1" s="1"/>
  <c r="E54" i="1"/>
  <c r="V54" i="1" s="1"/>
  <c r="E50" i="1"/>
  <c r="V50" i="1" s="1"/>
  <c r="E46" i="1"/>
  <c r="V46" i="1" s="1"/>
  <c r="E42" i="1"/>
  <c r="V42" i="1" s="1"/>
  <c r="E38" i="1"/>
  <c r="V38" i="1" s="1"/>
  <c r="E34" i="1"/>
  <c r="V34" i="1" s="1"/>
  <c r="E30" i="1"/>
  <c r="V30" i="1" s="1"/>
  <c r="E26" i="1"/>
  <c r="V26" i="1" s="1"/>
  <c r="E22" i="1"/>
  <c r="V22" i="1" s="1"/>
  <c r="E18" i="1"/>
  <c r="V18" i="1" s="1"/>
  <c r="E14" i="1"/>
  <c r="V14" i="1" s="1"/>
  <c r="E10" i="1"/>
  <c r="V10" i="1" s="1"/>
  <c r="E6" i="1"/>
  <c r="V6" i="1" s="1"/>
  <c r="E300" i="1"/>
  <c r="AP300" i="1" s="1"/>
  <c r="AU300" i="1" s="1"/>
  <c r="E281" i="1"/>
  <c r="V281" i="1" s="1"/>
  <c r="E269" i="1"/>
  <c r="V269" i="1" s="1"/>
  <c r="E257" i="1"/>
  <c r="V257" i="1" s="1"/>
  <c r="E253" i="1"/>
  <c r="V253" i="1" s="1"/>
  <c r="E245" i="1"/>
  <c r="V245" i="1" s="1"/>
  <c r="E233" i="1"/>
  <c r="V233" i="1" s="1"/>
  <c r="E221" i="1"/>
  <c r="V221" i="1" s="1"/>
  <c r="E209" i="1"/>
  <c r="V209" i="1" s="1"/>
  <c r="E197" i="1"/>
  <c r="V197" i="1" s="1"/>
  <c r="E185" i="1"/>
  <c r="V185" i="1" s="1"/>
  <c r="E173" i="1"/>
  <c r="V173" i="1" s="1"/>
  <c r="E165" i="1"/>
  <c r="V165" i="1" s="1"/>
  <c r="E153" i="1"/>
  <c r="V153" i="1" s="1"/>
  <c r="E141" i="1"/>
  <c r="V141" i="1" s="1"/>
  <c r="E125" i="1"/>
  <c r="V125" i="1" s="1"/>
  <c r="E109" i="1"/>
  <c r="V109" i="1" s="1"/>
  <c r="E93" i="1"/>
  <c r="V93" i="1" s="1"/>
  <c r="E77" i="1"/>
  <c r="V77" i="1" s="1"/>
  <c r="E61" i="1"/>
  <c r="V61" i="1" s="1"/>
  <c r="E45" i="1"/>
  <c r="V45" i="1" s="1"/>
  <c r="E29" i="1"/>
  <c r="V29" i="1" s="1"/>
  <c r="E13" i="1"/>
  <c r="V13" i="1" s="1"/>
  <c r="C300" i="1"/>
  <c r="E137" i="1"/>
  <c r="V137" i="1" s="1"/>
  <c r="E121" i="1"/>
  <c r="V121" i="1" s="1"/>
  <c r="E105" i="1"/>
  <c r="V105" i="1" s="1"/>
  <c r="E89" i="1"/>
  <c r="V89" i="1" s="1"/>
  <c r="E73" i="1"/>
  <c r="V73" i="1" s="1"/>
  <c r="E57" i="1"/>
  <c r="V57" i="1" s="1"/>
  <c r="E41" i="1"/>
  <c r="V41" i="1" s="1"/>
  <c r="E25" i="1"/>
  <c r="V25" i="1" s="1"/>
  <c r="E9" i="1"/>
  <c r="V9" i="1" s="1"/>
  <c r="E113" i="1"/>
  <c r="V113" i="1" s="1"/>
  <c r="E81" i="1"/>
  <c r="V81" i="1" s="1"/>
  <c r="E49" i="1"/>
  <c r="V49" i="1" s="1"/>
  <c r="E17" i="1"/>
  <c r="V17" i="1" s="1"/>
  <c r="E133" i="1"/>
  <c r="V133" i="1" s="1"/>
  <c r="E117" i="1"/>
  <c r="V117" i="1" s="1"/>
  <c r="E101" i="1"/>
  <c r="V101" i="1" s="1"/>
  <c r="E85" i="1"/>
  <c r="V85" i="1" s="1"/>
  <c r="E69" i="1"/>
  <c r="V69" i="1" s="1"/>
  <c r="E53" i="1"/>
  <c r="V53" i="1" s="1"/>
  <c r="E37" i="1"/>
  <c r="V37" i="1" s="1"/>
  <c r="E21" i="1"/>
  <c r="V21" i="1" s="1"/>
  <c r="E5" i="1"/>
  <c r="V5" i="1" s="1"/>
  <c r="E129" i="1"/>
  <c r="V129" i="1" s="1"/>
  <c r="E97" i="1"/>
  <c r="V97" i="1" s="1"/>
  <c r="E65" i="1"/>
  <c r="V65" i="1" s="1"/>
  <c r="E33" i="1"/>
  <c r="V33" i="1" s="1"/>
  <c r="N300" i="1"/>
  <c r="DP13" i="15" l="1"/>
  <c r="AG25" i="15"/>
  <c r="BA25" i="15" s="1"/>
  <c r="CX13" i="15"/>
  <c r="AE25" i="15"/>
  <c r="AY25" i="15" s="1"/>
  <c r="X13" i="15"/>
  <c r="U25" i="15"/>
  <c r="BX25" i="15" s="1"/>
  <c r="DD13" i="15"/>
  <c r="CJ13" i="15"/>
  <c r="CH13" i="15" s="1"/>
  <c r="CY13" i="15" s="1"/>
  <c r="W25" i="15"/>
  <c r="AM67" i="15"/>
  <c r="BG67" i="15" s="1"/>
  <c r="DJ61" i="15"/>
  <c r="U70" i="15"/>
  <c r="BX70" i="15" s="1"/>
  <c r="DD61" i="15"/>
  <c r="V24" i="15"/>
  <c r="DP24" i="15" s="1"/>
  <c r="CX39" i="15"/>
  <c r="DJ39" i="15"/>
  <c r="X61" i="15"/>
  <c r="DJ11" i="15"/>
  <c r="U67" i="15"/>
  <c r="BX67" i="15" s="1"/>
  <c r="CV28" i="15" a="1"/>
  <c r="CV28" i="15" s="1"/>
  <c r="W62" i="15"/>
  <c r="X62" i="15" s="1"/>
  <c r="W23" i="15"/>
  <c r="X23" i="15" s="1"/>
  <c r="CX11" i="15"/>
  <c r="DP11" i="15"/>
  <c r="X11" i="15"/>
  <c r="CM11" i="15" s="1"/>
  <c r="DD39" i="15"/>
  <c r="W67" i="15"/>
  <c r="AE62" i="15"/>
  <c r="AY62" i="15" s="1"/>
  <c r="AG23" i="15"/>
  <c r="BA23" i="15" s="1"/>
  <c r="AC67" i="15"/>
  <c r="BY67" i="15" s="1"/>
  <c r="AG62" i="15"/>
  <c r="BA62" i="15" s="1"/>
  <c r="AE23" i="15"/>
  <c r="AY23" i="15" s="1"/>
  <c r="DP39" i="15"/>
  <c r="CV32" i="15" a="1"/>
  <c r="CV32" i="15" s="1"/>
  <c r="AC62" i="15"/>
  <c r="AC23" i="15"/>
  <c r="AW23" i="15" s="1"/>
  <c r="AE70" i="15"/>
  <c r="AO70" i="15" s="1"/>
  <c r="W70" i="15"/>
  <c r="CI70" i="15" s="1"/>
  <c r="W43" i="15"/>
  <c r="AG22" i="15"/>
  <c r="BA22" i="15" s="1"/>
  <c r="CX37" i="15"/>
  <c r="V28" i="15"/>
  <c r="CX28" i="15" s="1"/>
  <c r="CJ68" i="15"/>
  <c r="CH68" i="15" s="1"/>
  <c r="AE43" i="15"/>
  <c r="AF43" i="15" s="1"/>
  <c r="AZ43" i="15" s="1"/>
  <c r="AC43" i="15"/>
  <c r="BY43" i="15" s="1"/>
  <c r="W22" i="15"/>
  <c r="X22" i="15" s="1"/>
  <c r="X37" i="15"/>
  <c r="DP37" i="15"/>
  <c r="DP59" i="15"/>
  <c r="DP68" i="15"/>
  <c r="CX124" i="15" s="1"/>
  <c r="DD68" i="15"/>
  <c r="CX122" i="15" s="1"/>
  <c r="U43" i="15"/>
  <c r="BX43" i="15" s="1"/>
  <c r="AE22" i="15"/>
  <c r="AY22" i="15" s="1"/>
  <c r="CJ37" i="15"/>
  <c r="CH37" i="15" s="1"/>
  <c r="CY37" i="15" s="1"/>
  <c r="DJ37" i="15"/>
  <c r="DJ68" i="15"/>
  <c r="CX123" i="15" s="1"/>
  <c r="CJ70" i="15"/>
  <c r="CJ112" i="15" s="1"/>
  <c r="AC22" i="15"/>
  <c r="AB22" i="15" s="1"/>
  <c r="CX70" i="15"/>
  <c r="AM68" i="15"/>
  <c r="BG68" i="15" s="1"/>
  <c r="AG70" i="15"/>
  <c r="BA70" i="15" s="1"/>
  <c r="CX38" i="15"/>
  <c r="CZ38" i="15" s="1"/>
  <c r="DD70" i="15"/>
  <c r="AF9" i="15"/>
  <c r="AZ9" i="15" s="1"/>
  <c r="DJ38" i="15"/>
  <c r="CZ60" i="15"/>
  <c r="CZ61" i="15"/>
  <c r="AF67" i="15"/>
  <c r="AZ67" i="15" s="1"/>
  <c r="CJ59" i="15"/>
  <c r="CH59" i="15" s="1"/>
  <c r="CY59" i="15" s="1"/>
  <c r="CX59" i="15"/>
  <c r="DJ59" i="15"/>
  <c r="AC15" i="15"/>
  <c r="U15" i="15"/>
  <c r="BX15" i="15" s="1"/>
  <c r="AG15" i="15"/>
  <c r="BA15" i="15" s="1"/>
  <c r="W15" i="15"/>
  <c r="AE15" i="15"/>
  <c r="DJ15" i="15"/>
  <c r="CX15" i="15"/>
  <c r="CJ15" i="15"/>
  <c r="CH15" i="15" s="1"/>
  <c r="CY15" i="15" s="1"/>
  <c r="DD15" i="15"/>
  <c r="DP15" i="15"/>
  <c r="CZ22" i="15"/>
  <c r="AF69" i="15"/>
  <c r="AP69" i="15" s="1"/>
  <c r="BJ69" i="15" s="1"/>
  <c r="CZ11" i="15"/>
  <c r="CV8" i="15" a="1"/>
  <c r="CV8" i="15" s="1"/>
  <c r="AM71" i="15"/>
  <c r="BG71" i="15" s="1"/>
  <c r="T20" i="15"/>
  <c r="U20" i="15" s="1"/>
  <c r="BX20" i="15" s="1"/>
  <c r="AF47" i="15"/>
  <c r="AZ47" i="15" s="1"/>
  <c r="AF10" i="15"/>
  <c r="AZ10" i="15" s="1"/>
  <c r="CZ62" i="15"/>
  <c r="AF34" i="15"/>
  <c r="AZ34" i="15" s="1"/>
  <c r="AF38" i="15"/>
  <c r="AZ38" i="15" s="1"/>
  <c r="AF60" i="15"/>
  <c r="AZ60" i="15" s="1"/>
  <c r="AF11" i="15"/>
  <c r="AZ11" i="15" s="1"/>
  <c r="AF41" i="15"/>
  <c r="CM34" i="15"/>
  <c r="CM38" i="15"/>
  <c r="CM68" i="15"/>
  <c r="CJ108" i="15" s="1"/>
  <c r="AC32" i="15"/>
  <c r="W32" i="15"/>
  <c r="AG32" i="15"/>
  <c r="BA32" i="15" s="1"/>
  <c r="AE32" i="15"/>
  <c r="AY32" i="15" s="1"/>
  <c r="W12" i="15"/>
  <c r="AC12" i="15"/>
  <c r="AE12" i="15"/>
  <c r="AY12" i="15" s="1"/>
  <c r="AG12" i="15"/>
  <c r="BA12" i="15" s="1"/>
  <c r="C45" i="14"/>
  <c r="C49" i="14" s="1"/>
  <c r="W45" i="14"/>
  <c r="W49" i="14" s="1"/>
  <c r="U45" i="14"/>
  <c r="U49" i="14" s="1"/>
  <c r="S45" i="14"/>
  <c r="S49" i="14" s="1"/>
  <c r="D45" i="14"/>
  <c r="D49" i="14" s="1"/>
  <c r="F45" i="14"/>
  <c r="F49" i="14" s="1"/>
  <c r="M45" i="14"/>
  <c r="M49" i="14" s="1"/>
  <c r="AG45" i="14"/>
  <c r="AG49" i="14" s="1"/>
  <c r="AB45" i="14"/>
  <c r="AB49" i="14" s="1"/>
  <c r="AF45" i="14"/>
  <c r="AF49" i="14" s="1"/>
  <c r="AH45" i="14"/>
  <c r="AH49" i="14" s="1"/>
  <c r="P45" i="14"/>
  <c r="P49" i="14" s="1"/>
  <c r="Z45" i="14"/>
  <c r="Z49" i="14" s="1"/>
  <c r="Q45" i="14"/>
  <c r="Q49" i="14" s="1"/>
  <c r="AC45" i="14"/>
  <c r="AC49" i="14" s="1"/>
  <c r="L45" i="14"/>
  <c r="L49" i="14" s="1"/>
  <c r="K45" i="14"/>
  <c r="K49" i="14" s="1"/>
  <c r="AJ45" i="14"/>
  <c r="AJ49" i="14" s="1"/>
  <c r="V45" i="14"/>
  <c r="V49" i="14" s="1"/>
  <c r="AE45" i="14"/>
  <c r="AE49" i="14" s="1"/>
  <c r="G45" i="14"/>
  <c r="G49" i="14" s="1"/>
  <c r="O45" i="14"/>
  <c r="O49" i="14" s="1"/>
  <c r="N45" i="14"/>
  <c r="N49" i="14" s="1"/>
  <c r="AA45" i="14"/>
  <c r="AA49" i="14" s="1"/>
  <c r="Y45" i="14"/>
  <c r="Y49" i="14" s="1"/>
  <c r="J45" i="14"/>
  <c r="J49" i="14" s="1"/>
  <c r="E45" i="14"/>
  <c r="E49" i="14" s="1"/>
  <c r="R45" i="14"/>
  <c r="R49" i="14" s="1"/>
  <c r="H45" i="14"/>
  <c r="H49" i="14" s="1"/>
  <c r="AD45" i="14"/>
  <c r="AD49" i="14" s="1"/>
  <c r="I45" i="14"/>
  <c r="I49" i="14" s="1"/>
  <c r="X45" i="14"/>
  <c r="X49" i="14" s="1"/>
  <c r="AI45" i="14"/>
  <c r="AI49" i="14" s="1"/>
  <c r="T45" i="14"/>
  <c r="T49" i="14" s="1"/>
  <c r="B45" i="14"/>
  <c r="B49" i="14" s="1"/>
  <c r="CM13" i="15"/>
  <c r="DG10" i="15"/>
  <c r="DA10" i="15"/>
  <c r="DM10" i="15"/>
  <c r="CI10" i="15"/>
  <c r="DS10" i="15"/>
  <c r="CM51" i="15"/>
  <c r="DD41" i="15"/>
  <c r="CX41" i="15"/>
  <c r="CJ41" i="15"/>
  <c r="CH41" i="15" s="1"/>
  <c r="CY41" i="15" s="1"/>
  <c r="DP41" i="15"/>
  <c r="DJ41" i="15"/>
  <c r="AW34" i="15"/>
  <c r="BY34" i="15"/>
  <c r="AB34" i="15"/>
  <c r="AW38" i="15"/>
  <c r="BY38" i="15"/>
  <c r="AB38" i="15"/>
  <c r="DJ27" i="15"/>
  <c r="CJ27" i="15"/>
  <c r="CH27" i="15" s="1"/>
  <c r="CY27" i="15" s="1"/>
  <c r="DP27" i="15"/>
  <c r="DD27" i="15"/>
  <c r="CX27" i="15"/>
  <c r="X27" i="15"/>
  <c r="DA42" i="15"/>
  <c r="CI42" i="15"/>
  <c r="DB42" i="15" s="1"/>
  <c r="DS42" i="15"/>
  <c r="DM42" i="15"/>
  <c r="DG42" i="15"/>
  <c r="AC46" i="15"/>
  <c r="AE46" i="15"/>
  <c r="AG46" i="15"/>
  <c r="BA46" i="15" s="1"/>
  <c r="W46" i="15"/>
  <c r="X46" i="15" s="1"/>
  <c r="U46" i="15"/>
  <c r="BX46" i="15" s="1"/>
  <c r="AB9" i="15"/>
  <c r="AV9" i="15" s="1"/>
  <c r="AW9" i="15"/>
  <c r="BY9" i="15"/>
  <c r="CX26" i="15"/>
  <c r="CJ26" i="15"/>
  <c r="CH26" i="15" s="1"/>
  <c r="CY26" i="15" s="1"/>
  <c r="DJ26" i="15"/>
  <c r="DD26" i="15"/>
  <c r="DP26" i="15"/>
  <c r="AY68" i="15"/>
  <c r="AO68" i="15"/>
  <c r="CM62" i="15"/>
  <c r="CJ107" i="15" s="1"/>
  <c r="DS67" i="15"/>
  <c r="CX112" i="15" s="1"/>
  <c r="DM67" i="15"/>
  <c r="DG67" i="15"/>
  <c r="DA67" i="15"/>
  <c r="CI67" i="15"/>
  <c r="X69" i="15"/>
  <c r="DS69" i="15"/>
  <c r="DM69" i="15"/>
  <c r="DG69" i="15"/>
  <c r="CI69" i="15"/>
  <c r="DA69" i="15"/>
  <c r="DM62" i="15"/>
  <c r="DG62" i="15"/>
  <c r="CY68" i="15"/>
  <c r="CY121" i="15" s="1"/>
  <c r="CH107" i="15"/>
  <c r="AF61" i="15"/>
  <c r="AZ61" i="15" s="1"/>
  <c r="AB61" i="15"/>
  <c r="AW61" i="15"/>
  <c r="BY61" i="15"/>
  <c r="AY14" i="15"/>
  <c r="AF14" i="15"/>
  <c r="AZ14" i="15" s="1"/>
  <c r="AF51" i="15"/>
  <c r="AZ51" i="15" s="1"/>
  <c r="CI51" i="15"/>
  <c r="DB51" i="15" s="1"/>
  <c r="DS51" i="15"/>
  <c r="DM51" i="15"/>
  <c r="DG51" i="15"/>
  <c r="DA51" i="15"/>
  <c r="AF37" i="15"/>
  <c r="AZ37" i="15" s="1"/>
  <c r="BY37" i="15"/>
  <c r="AW37" i="15"/>
  <c r="AB37" i="15"/>
  <c r="AC29" i="15"/>
  <c r="W29" i="15"/>
  <c r="AG29" i="15"/>
  <c r="BA29" i="15" s="1"/>
  <c r="AE29" i="15"/>
  <c r="U29" i="15"/>
  <c r="BX29" i="15" s="1"/>
  <c r="AF35" i="15"/>
  <c r="AZ35" i="15" s="1"/>
  <c r="AY35" i="15"/>
  <c r="AB47" i="15"/>
  <c r="BY47" i="15"/>
  <c r="AW47" i="15"/>
  <c r="BA43" i="15"/>
  <c r="AM69" i="15"/>
  <c r="DS39" i="15"/>
  <c r="CI39" i="15"/>
  <c r="DB39" i="15" s="1"/>
  <c r="DA39" i="15"/>
  <c r="DG39" i="15"/>
  <c r="DM39" i="15"/>
  <c r="AV63" i="15"/>
  <c r="V12" i="15"/>
  <c r="U12" i="15"/>
  <c r="BX12" i="15" s="1"/>
  <c r="DP8" i="15"/>
  <c r="DD8" i="15"/>
  <c r="CJ8" i="15"/>
  <c r="CH8" i="15" s="1"/>
  <c r="CY8" i="15" s="1"/>
  <c r="DJ8" i="15"/>
  <c r="CX8" i="15"/>
  <c r="BY42" i="15"/>
  <c r="AB42" i="15"/>
  <c r="AW42" i="15"/>
  <c r="DJ46" i="15"/>
  <c r="CJ46" i="15"/>
  <c r="CH46" i="15" s="1"/>
  <c r="CY46" i="15" s="1"/>
  <c r="DD46" i="15"/>
  <c r="DP46" i="15"/>
  <c r="CX46" i="15"/>
  <c r="X9" i="15"/>
  <c r="DM9" i="15"/>
  <c r="CI9" i="15"/>
  <c r="DB9" i="15" s="1"/>
  <c r="DA9" i="15"/>
  <c r="DS9" i="15"/>
  <c r="DG9" i="15"/>
  <c r="AF59" i="15"/>
  <c r="AZ59" i="15" s="1"/>
  <c r="AB59" i="15"/>
  <c r="AW59" i="15"/>
  <c r="BY59" i="15"/>
  <c r="CX24" i="15"/>
  <c r="BA68" i="15"/>
  <c r="AQ68" i="15"/>
  <c r="BK68" i="15" s="1"/>
  <c r="CX33" i="15"/>
  <c r="DD33" i="15"/>
  <c r="CJ33" i="15"/>
  <c r="CH33" i="15" s="1"/>
  <c r="CY33" i="15" s="1"/>
  <c r="DJ33" i="15"/>
  <c r="DP33" i="15"/>
  <c r="DM60" i="15"/>
  <c r="DG60" i="15"/>
  <c r="DS60" i="15"/>
  <c r="CI60" i="15"/>
  <c r="DB60" i="15" s="1"/>
  <c r="DA60" i="15"/>
  <c r="BY69" i="15"/>
  <c r="AW69" i="15"/>
  <c r="V44" i="15"/>
  <c r="T44" i="15"/>
  <c r="DA27" i="15"/>
  <c r="DG27" i="15"/>
  <c r="CI27" i="15"/>
  <c r="DS27" i="15"/>
  <c r="DM27" i="15"/>
  <c r="DD71" i="15"/>
  <c r="DP71" i="15"/>
  <c r="CX71" i="15"/>
  <c r="DJ71" i="15"/>
  <c r="CJ71" i="15"/>
  <c r="T8" i="15"/>
  <c r="AB14" i="15"/>
  <c r="AW14" i="15"/>
  <c r="BY14" i="15"/>
  <c r="T36" i="15"/>
  <c r="U36" i="15" s="1"/>
  <c r="BX36" i="15" s="1"/>
  <c r="V36" i="15"/>
  <c r="AQ70" i="15"/>
  <c r="BK70" i="15" s="1"/>
  <c r="AB11" i="15"/>
  <c r="BY11" i="15"/>
  <c r="AW11" i="15"/>
  <c r="CX29" i="15"/>
  <c r="DD29" i="15"/>
  <c r="CJ29" i="15"/>
  <c r="CH29" i="15" s="1"/>
  <c r="CY29" i="15" s="1"/>
  <c r="DJ29" i="15"/>
  <c r="DP29" i="15"/>
  <c r="DG63" i="15"/>
  <c r="DA63" i="15"/>
  <c r="DM63" i="15"/>
  <c r="DS63" i="15"/>
  <c r="CI63" i="15"/>
  <c r="AW41" i="15"/>
  <c r="BY41" i="15"/>
  <c r="X47" i="15"/>
  <c r="DG47" i="15"/>
  <c r="DS47" i="15"/>
  <c r="CI47" i="15"/>
  <c r="DM47" i="15"/>
  <c r="DA47" i="15"/>
  <c r="DM43" i="15"/>
  <c r="DG43" i="15"/>
  <c r="DS43" i="15"/>
  <c r="DA43" i="15"/>
  <c r="X43" i="15"/>
  <c r="CI43" i="15"/>
  <c r="DB43" i="15" s="1"/>
  <c r="AF39" i="15"/>
  <c r="AZ39" i="15" s="1"/>
  <c r="AB39" i="15"/>
  <c r="BY39" i="15"/>
  <c r="AW39" i="15"/>
  <c r="X25" i="15"/>
  <c r="DM25" i="15"/>
  <c r="DA25" i="15"/>
  <c r="DS25" i="15"/>
  <c r="CI25" i="15"/>
  <c r="DB25" i="15" s="1"/>
  <c r="DG25" i="15"/>
  <c r="DJ63" i="15"/>
  <c r="CJ63" i="15"/>
  <c r="CH63" i="15" s="1"/>
  <c r="CY63" i="15" s="1"/>
  <c r="CX63" i="15"/>
  <c r="DP63" i="15"/>
  <c r="DD63" i="15"/>
  <c r="X63" i="15"/>
  <c r="DP14" i="15"/>
  <c r="CX14" i="15"/>
  <c r="CJ14" i="15"/>
  <c r="CH14" i="15" s="1"/>
  <c r="CY14" i="15" s="1"/>
  <c r="DJ14" i="15"/>
  <c r="DD14" i="15"/>
  <c r="X14" i="15"/>
  <c r="DP10" i="15"/>
  <c r="DD10" i="15"/>
  <c r="CJ10" i="15"/>
  <c r="CH10" i="15" s="1"/>
  <c r="CY10" i="15" s="1"/>
  <c r="DJ10" i="15"/>
  <c r="CX10" i="15"/>
  <c r="X10" i="15"/>
  <c r="CZ39" i="15"/>
  <c r="X39" i="15"/>
  <c r="AC45" i="15"/>
  <c r="W45" i="15"/>
  <c r="AG45" i="15"/>
  <c r="BA45" i="15" s="1"/>
  <c r="AE45" i="15"/>
  <c r="DM59" i="15"/>
  <c r="CI59" i="15"/>
  <c r="DG59" i="15"/>
  <c r="DA59" i="15"/>
  <c r="DS59" i="15"/>
  <c r="AF68" i="15"/>
  <c r="DM68" i="15"/>
  <c r="CX127" i="15" s="1"/>
  <c r="DS68" i="15"/>
  <c r="DA68" i="15"/>
  <c r="CI68" i="15"/>
  <c r="DB68" i="15" s="1"/>
  <c r="CY125" i="15" s="1"/>
  <c r="DG68" i="15"/>
  <c r="X59" i="15"/>
  <c r="AQ67" i="15"/>
  <c r="BK67" i="15" s="1"/>
  <c r="BA67" i="15"/>
  <c r="BA69" i="15"/>
  <c r="AQ69" i="15"/>
  <c r="BK69" i="15" s="1"/>
  <c r="DS13" i="15"/>
  <c r="DA13" i="15"/>
  <c r="CI13" i="15"/>
  <c r="DM13" i="15"/>
  <c r="DG13" i="15"/>
  <c r="AF27" i="15"/>
  <c r="AZ27" i="15" s="1"/>
  <c r="AB27" i="15"/>
  <c r="AW27" i="15"/>
  <c r="BY27" i="15"/>
  <c r="DA21" i="15"/>
  <c r="DS21" i="15"/>
  <c r="DG21" i="15"/>
  <c r="CI21" i="15"/>
  <c r="DB21" i="15" s="1"/>
  <c r="DM21" i="15"/>
  <c r="DS61" i="15"/>
  <c r="DG61" i="15"/>
  <c r="CI61" i="15"/>
  <c r="DA61" i="15"/>
  <c r="DM61" i="15"/>
  <c r="CJ47" i="15"/>
  <c r="CH47" i="15" s="1"/>
  <c r="CY47" i="15" s="1"/>
  <c r="DJ47" i="15"/>
  <c r="DD47" i="15"/>
  <c r="DP47" i="15"/>
  <c r="CX47" i="15"/>
  <c r="W71" i="15"/>
  <c r="X71" i="15" s="1"/>
  <c r="AC71" i="15"/>
  <c r="AG71" i="15"/>
  <c r="AE71" i="15"/>
  <c r="CV12" i="15" a="1"/>
  <c r="CV12" i="15" s="1"/>
  <c r="CZ9" i="15"/>
  <c r="CZ34" i="15"/>
  <c r="DA14" i="15"/>
  <c r="DM14" i="15"/>
  <c r="DS14" i="15"/>
  <c r="DG14" i="15"/>
  <c r="CI14" i="15"/>
  <c r="X42" i="15"/>
  <c r="CX20" i="15"/>
  <c r="DD20" i="15"/>
  <c r="DJ20" i="15"/>
  <c r="CJ20" i="15"/>
  <c r="CH20" i="15" s="1"/>
  <c r="CY20" i="15" s="1"/>
  <c r="DP20" i="15"/>
  <c r="AB35" i="15"/>
  <c r="BY35" i="15"/>
  <c r="AW35" i="15"/>
  <c r="AF63" i="15"/>
  <c r="AZ63" i="15" s="1"/>
  <c r="AW63" i="15"/>
  <c r="BY63" i="15"/>
  <c r="AY43" i="15"/>
  <c r="AV69" i="15"/>
  <c r="DD69" i="15"/>
  <c r="DP69" i="15"/>
  <c r="CX69" i="15"/>
  <c r="DJ69" i="15"/>
  <c r="CJ69" i="15"/>
  <c r="CH69" i="15" s="1"/>
  <c r="CY69" i="15" s="1"/>
  <c r="AB10" i="15"/>
  <c r="BY10" i="15"/>
  <c r="AW10" i="15"/>
  <c r="CZ51" i="15"/>
  <c r="AB25" i="15"/>
  <c r="BY25" i="15"/>
  <c r="AW25" i="15"/>
  <c r="DD35" i="15"/>
  <c r="DJ35" i="15"/>
  <c r="CJ35" i="15"/>
  <c r="CH35" i="15" s="1"/>
  <c r="CY35" i="15" s="1"/>
  <c r="DP35" i="15"/>
  <c r="CX35" i="15"/>
  <c r="X35" i="15"/>
  <c r="CX67" i="15"/>
  <c r="DJ67" i="15"/>
  <c r="CJ67" i="15"/>
  <c r="DD67" i="15"/>
  <c r="DP67" i="15"/>
  <c r="X67" i="15"/>
  <c r="DM34" i="15"/>
  <c r="DG34" i="15"/>
  <c r="DA34" i="15"/>
  <c r="CI34" i="15"/>
  <c r="DB34" i="15" s="1"/>
  <c r="DS34" i="15"/>
  <c r="DG38" i="15"/>
  <c r="CI38" i="15"/>
  <c r="DB38" i="15" s="1"/>
  <c r="DA38" i="15"/>
  <c r="DS38" i="15"/>
  <c r="DM38" i="15"/>
  <c r="AC26" i="15"/>
  <c r="AG26" i="15"/>
  <c r="BA26" i="15" s="1"/>
  <c r="AE26" i="15"/>
  <c r="AY26" i="15" s="1"/>
  <c r="W26" i="15"/>
  <c r="X26" i="15" s="1"/>
  <c r="AF42" i="15"/>
  <c r="AZ42" i="15" s="1"/>
  <c r="AY42" i="15"/>
  <c r="DP45" i="15"/>
  <c r="CJ45" i="15"/>
  <c r="CH45" i="15" s="1"/>
  <c r="CY45" i="15" s="1"/>
  <c r="DD45" i="15"/>
  <c r="DJ45" i="15"/>
  <c r="CX45" i="15"/>
  <c r="U26" i="15"/>
  <c r="BX26" i="15" s="1"/>
  <c r="AC24" i="15"/>
  <c r="W24" i="15"/>
  <c r="AE24" i="15"/>
  <c r="AY24" i="15" s="1"/>
  <c r="AG24" i="15"/>
  <c r="BA24" i="15" s="1"/>
  <c r="BY68" i="15"/>
  <c r="AW68" i="15"/>
  <c r="AB68" i="15"/>
  <c r="V32" i="15"/>
  <c r="U32" i="15"/>
  <c r="BX32" i="15" s="1"/>
  <c r="AC33" i="15"/>
  <c r="W33" i="15"/>
  <c r="AE33" i="15"/>
  <c r="AY33" i="15" s="1"/>
  <c r="AG33" i="15"/>
  <c r="BA33" i="15" s="1"/>
  <c r="BY60" i="15"/>
  <c r="AW60" i="15"/>
  <c r="AB60" i="15"/>
  <c r="AO67" i="15"/>
  <c r="BI67" i="15" s="1"/>
  <c r="AY67" i="15"/>
  <c r="V16" i="15"/>
  <c r="T16" i="15"/>
  <c r="CZ23" i="15"/>
  <c r="AO69" i="15"/>
  <c r="BI69" i="15" s="1"/>
  <c r="AY69" i="15"/>
  <c r="X60" i="15"/>
  <c r="AF13" i="15"/>
  <c r="AZ13" i="15" s="1"/>
  <c r="BY13" i="15"/>
  <c r="AW13" i="15"/>
  <c r="AB13" i="15"/>
  <c r="AW62" i="15"/>
  <c r="BY62" i="15"/>
  <c r="AB62" i="15"/>
  <c r="AE28" i="15"/>
  <c r="AY28" i="15" s="1"/>
  <c r="AG28" i="15"/>
  <c r="BA28" i="15" s="1"/>
  <c r="W28" i="15"/>
  <c r="AC28" i="15"/>
  <c r="AF21" i="15"/>
  <c r="AZ21" i="15" s="1"/>
  <c r="AW21" i="15"/>
  <c r="BY21" i="15"/>
  <c r="AB21" i="15"/>
  <c r="CX121" i="15"/>
  <c r="X21" i="15"/>
  <c r="CZ25" i="15"/>
  <c r="T40" i="15"/>
  <c r="U40" i="15" s="1"/>
  <c r="BX40" i="15" s="1"/>
  <c r="V40" i="15"/>
  <c r="AB51" i="15"/>
  <c r="AW51" i="15"/>
  <c r="BY51" i="15"/>
  <c r="DM37" i="15"/>
  <c r="DS37" i="15"/>
  <c r="DA37" i="15"/>
  <c r="CI37" i="15"/>
  <c r="DG37" i="15"/>
  <c r="AB70" i="15"/>
  <c r="AW70" i="15"/>
  <c r="DG11" i="15"/>
  <c r="DS11" i="15"/>
  <c r="CI11" i="15"/>
  <c r="DB11" i="15" s="1"/>
  <c r="DA11" i="15"/>
  <c r="DM11" i="15"/>
  <c r="DG35" i="15"/>
  <c r="DA35" i="15"/>
  <c r="CI35" i="15"/>
  <c r="DM35" i="15"/>
  <c r="DS35" i="15"/>
  <c r="X41" i="15"/>
  <c r="DM41" i="15"/>
  <c r="DG41" i="15"/>
  <c r="CI41" i="15"/>
  <c r="DS41" i="15"/>
  <c r="DA41" i="15"/>
  <c r="AW30" i="15"/>
  <c r="BX50" i="15"/>
  <c r="BX55" i="15"/>
  <c r="BX30" i="15"/>
  <c r="BX54" i="15"/>
  <c r="W17" i="15"/>
  <c r="DS17" i="15" s="1"/>
  <c r="AC17" i="15"/>
  <c r="BX49" i="15"/>
  <c r="T18" i="15"/>
  <c r="AC18" i="15" s="1"/>
  <c r="AW18" i="15" s="1"/>
  <c r="DD54" i="15"/>
  <c r="X54" i="15"/>
  <c r="DJ54" i="15"/>
  <c r="U17" i="15"/>
  <c r="AG17" i="15"/>
  <c r="BA17" i="15" s="1"/>
  <c r="AB19" i="15"/>
  <c r="V19" i="15"/>
  <c r="BA30" i="15"/>
  <c r="BY30" i="15"/>
  <c r="DP54" i="15"/>
  <c r="CJ54" i="15"/>
  <c r="CH54" i="15" s="1"/>
  <c r="CY54" i="15" s="1"/>
  <c r="CZ54" i="15" s="1"/>
  <c r="BA55" i="15"/>
  <c r="BY55" i="15"/>
  <c r="AB52" i="15"/>
  <c r="V52" i="15"/>
  <c r="BA54" i="15"/>
  <c r="BY54" i="15"/>
  <c r="BA50" i="15"/>
  <c r="BY50" i="15"/>
  <c r="BA49" i="15"/>
  <c r="BY49" i="15"/>
  <c r="AF49" i="15"/>
  <c r="AZ49" i="15" s="1"/>
  <c r="AF50" i="15"/>
  <c r="AZ50" i="15" s="1"/>
  <c r="AF54" i="15"/>
  <c r="AZ54" i="15" s="1"/>
  <c r="AF30" i="15"/>
  <c r="AZ30" i="15" s="1"/>
  <c r="AF55" i="15"/>
  <c r="AZ55" i="15" s="1"/>
  <c r="U31" i="15"/>
  <c r="AE31" i="15"/>
  <c r="AE53" i="15"/>
  <c r="U48" i="15"/>
  <c r="AE48" i="15"/>
  <c r="AE17" i="15"/>
  <c r="AY17" i="15" s="1"/>
  <c r="DS30" i="15"/>
  <c r="AV49" i="15"/>
  <c r="DM30" i="15"/>
  <c r="CI30" i="15"/>
  <c r="DB30" i="15" s="1"/>
  <c r="DC30" i="15" s="1"/>
  <c r="CZ49" i="15"/>
  <c r="U53" i="15"/>
  <c r="DG30" i="15"/>
  <c r="DA50" i="15"/>
  <c r="DM50" i="15"/>
  <c r="CI50" i="15"/>
  <c r="DB50" i="15" s="1"/>
  <c r="DS50" i="15"/>
  <c r="DG50" i="15"/>
  <c r="DS49" i="15"/>
  <c r="CI49" i="15"/>
  <c r="DB49" i="15" s="1"/>
  <c r="DA49" i="15"/>
  <c r="DG49" i="15"/>
  <c r="DM49" i="15"/>
  <c r="AV53" i="15"/>
  <c r="AG48" i="15"/>
  <c r="X48" i="15"/>
  <c r="AY50" i="15"/>
  <c r="AW50" i="15"/>
  <c r="AV50" i="15"/>
  <c r="DJ48" i="15"/>
  <c r="DP48" i="15"/>
  <c r="CX48" i="15"/>
  <c r="DD48" i="15"/>
  <c r="CJ48" i="15"/>
  <c r="CH48" i="15" s="1"/>
  <c r="CY48" i="15" s="1"/>
  <c r="X50" i="15"/>
  <c r="CZ50" i="15"/>
  <c r="CJ53" i="15"/>
  <c r="CH53" i="15" s="1"/>
  <c r="CY53" i="15" s="1"/>
  <c r="DJ53" i="15"/>
  <c r="DD53" i="15"/>
  <c r="CX53" i="15"/>
  <c r="DP53" i="15"/>
  <c r="X49" i="15"/>
  <c r="AY49" i="15"/>
  <c r="W52" i="15"/>
  <c r="AG53" i="15"/>
  <c r="CZ55" i="15"/>
  <c r="AV55" i="15"/>
  <c r="AW55" i="15"/>
  <c r="CM55" i="15"/>
  <c r="DM54" i="15"/>
  <c r="DA54" i="15"/>
  <c r="CI54" i="15"/>
  <c r="DS54" i="15"/>
  <c r="DG54" i="15"/>
  <c r="DM55" i="15"/>
  <c r="DA55" i="15"/>
  <c r="CI55" i="15"/>
  <c r="DB55" i="15" s="1"/>
  <c r="DS55" i="15"/>
  <c r="DG55" i="15"/>
  <c r="AY55" i="15"/>
  <c r="X30" i="15"/>
  <c r="CH43" i="15"/>
  <c r="AV30" i="15"/>
  <c r="AW31" i="15"/>
  <c r="CZ30" i="15"/>
  <c r="CJ31" i="15"/>
  <c r="CH31" i="15" s="1"/>
  <c r="CY31" i="15" s="1"/>
  <c r="DP31" i="15"/>
  <c r="DD31" i="15"/>
  <c r="DJ31" i="15"/>
  <c r="CX31" i="15"/>
  <c r="X31" i="15"/>
  <c r="AG31" i="15"/>
  <c r="W19" i="15"/>
  <c r="CJ17" i="15"/>
  <c r="CH17" i="15" s="1"/>
  <c r="CY17" i="15" s="1"/>
  <c r="DP17" i="15"/>
  <c r="DD17" i="15"/>
  <c r="DJ17" i="15"/>
  <c r="CX17" i="15"/>
  <c r="CV18" i="15" a="1"/>
  <c r="CV18" i="15" s="1"/>
  <c r="F300" i="1"/>
  <c r="I300" i="1" s="1"/>
  <c r="AY300" i="1"/>
  <c r="BB300" i="1" s="1"/>
  <c r="BN300" i="1"/>
  <c r="BR300" i="1"/>
  <c r="BV300" i="1"/>
  <c r="BO300" i="1"/>
  <c r="BS300" i="1"/>
  <c r="BW300" i="1"/>
  <c r="BM300" i="1"/>
  <c r="BP300" i="1"/>
  <c r="BT300" i="1"/>
  <c r="BX300" i="1"/>
  <c r="BQ300" i="1"/>
  <c r="BU300" i="1"/>
  <c r="BY300" i="1"/>
  <c r="BZ300" i="1"/>
  <c r="D300" i="1"/>
  <c r="CZ13" i="15" l="1"/>
  <c r="AF25" i="15"/>
  <c r="AZ25" i="15" s="1"/>
  <c r="DB13" i="15"/>
  <c r="DC13" i="15" s="1"/>
  <c r="AB23" i="15"/>
  <c r="AF62" i="15"/>
  <c r="AZ62" i="15" s="1"/>
  <c r="DC51" i="15"/>
  <c r="DD24" i="15"/>
  <c r="DP28" i="15"/>
  <c r="DJ24" i="15"/>
  <c r="DM22" i="15"/>
  <c r="DM23" i="15"/>
  <c r="CJ24" i="15"/>
  <c r="CH24" i="15" s="1"/>
  <c r="CY24" i="15" s="1"/>
  <c r="CZ24" i="15" s="1"/>
  <c r="DA62" i="15"/>
  <c r="DS62" i="15"/>
  <c r="CM61" i="15"/>
  <c r="CI62" i="15"/>
  <c r="DB62" i="15" s="1"/>
  <c r="DA23" i="15"/>
  <c r="BY70" i="15"/>
  <c r="DM70" i="15"/>
  <c r="DS23" i="15"/>
  <c r="CI23" i="15"/>
  <c r="DB23" i="15" s="1"/>
  <c r="AP67" i="15"/>
  <c r="X70" i="15"/>
  <c r="CM70" i="15" s="1"/>
  <c r="CJ113" i="15" s="1"/>
  <c r="DG23" i="15"/>
  <c r="CJ28" i="15"/>
  <c r="CH28" i="15" s="1"/>
  <c r="CY28" i="15" s="1"/>
  <c r="CZ28" i="15" s="1"/>
  <c r="BY22" i="15"/>
  <c r="DA70" i="15"/>
  <c r="AW67" i="15"/>
  <c r="DG22" i="15"/>
  <c r="CM22" i="15"/>
  <c r="DJ28" i="15"/>
  <c r="DD28" i="15"/>
  <c r="AW22" i="15"/>
  <c r="DG70" i="15"/>
  <c r="AB67" i="15"/>
  <c r="AH67" i="15" s="1"/>
  <c r="AI67" i="15" s="1"/>
  <c r="DA22" i="15"/>
  <c r="CI22" i="15"/>
  <c r="DB22" i="15" s="1"/>
  <c r="DB37" i="15"/>
  <c r="DC37" i="15" s="1"/>
  <c r="DS70" i="15"/>
  <c r="DS22" i="15"/>
  <c r="AF70" i="15"/>
  <c r="AH70" i="15" s="1"/>
  <c r="AI70" i="15" s="1"/>
  <c r="AY70" i="15"/>
  <c r="AW43" i="15"/>
  <c r="BY23" i="15"/>
  <c r="AF23" i="15"/>
  <c r="AZ23" i="15" s="1"/>
  <c r="CH70" i="15"/>
  <c r="AB43" i="15"/>
  <c r="AV43" i="15" s="1"/>
  <c r="AF22" i="15"/>
  <c r="AZ22" i="15" s="1"/>
  <c r="W20" i="15"/>
  <c r="X20" i="15" s="1"/>
  <c r="CZ59" i="15"/>
  <c r="AH69" i="15"/>
  <c r="AI69" i="15" s="1"/>
  <c r="DB70" i="15"/>
  <c r="AZ69" i="15"/>
  <c r="CS69" i="15" s="1" a="1"/>
  <c r="CS69" i="15" s="1"/>
  <c r="CZ37" i="15"/>
  <c r="CM37" i="15"/>
  <c r="DB27" i="15"/>
  <c r="DC27" i="15" s="1"/>
  <c r="X17" i="15"/>
  <c r="CZ68" i="15"/>
  <c r="CZ121" i="15" s="1"/>
  <c r="DC43" i="15"/>
  <c r="CZ47" i="15"/>
  <c r="DB59" i="15"/>
  <c r="DC59" i="15" s="1"/>
  <c r="CZ15" i="15"/>
  <c r="X15" i="15"/>
  <c r="DA15" i="15"/>
  <c r="DS15" i="15"/>
  <c r="DM15" i="15"/>
  <c r="CI15" i="15"/>
  <c r="DB15" i="15" s="1"/>
  <c r="DG15" i="15"/>
  <c r="CX120" i="15"/>
  <c r="AF15" i="15"/>
  <c r="AZ15" i="15" s="1"/>
  <c r="AY15" i="15"/>
  <c r="AW15" i="15"/>
  <c r="AB15" i="15"/>
  <c r="BY15" i="15"/>
  <c r="DC11" i="15"/>
  <c r="DC60" i="15"/>
  <c r="CZ33" i="15"/>
  <c r="AF32" i="15"/>
  <c r="AZ32" i="15" s="1"/>
  <c r="AF26" i="15"/>
  <c r="AZ26" i="15" s="1"/>
  <c r="DC34" i="15"/>
  <c r="CZ69" i="15"/>
  <c r="AF71" i="15"/>
  <c r="AP71" i="15" s="1"/>
  <c r="BJ71" i="15" s="1"/>
  <c r="CZ29" i="15"/>
  <c r="DB35" i="15"/>
  <c r="DC35" i="15" s="1"/>
  <c r="DB14" i="15"/>
  <c r="DC14" i="15" s="1"/>
  <c r="CZ14" i="15"/>
  <c r="AC20" i="15"/>
  <c r="AW20" i="15" s="1"/>
  <c r="CZ26" i="15"/>
  <c r="CZ41" i="15"/>
  <c r="BB9" i="15"/>
  <c r="BC9" i="15" s="1"/>
  <c r="CZ8" i="15"/>
  <c r="AG20" i="15"/>
  <c r="BA20" i="15" s="1"/>
  <c r="AZ41" i="15"/>
  <c r="CS41" i="15" s="1" a="1"/>
  <c r="CS41" i="15" s="1"/>
  <c r="AH41" i="15"/>
  <c r="AI41" i="15" s="1"/>
  <c r="DB41" i="15"/>
  <c r="DC41" i="15" s="1"/>
  <c r="AF24" i="15"/>
  <c r="AZ24" i="15" s="1"/>
  <c r="AH9" i="15"/>
  <c r="AI9" i="15" s="1"/>
  <c r="CX126" i="15"/>
  <c r="DC9" i="15"/>
  <c r="AE20" i="15"/>
  <c r="AY20" i="15" s="1"/>
  <c r="CZ27" i="15"/>
  <c r="CM26" i="15"/>
  <c r="CI17" i="15"/>
  <c r="DB17" i="15" s="1"/>
  <c r="CM41" i="15"/>
  <c r="CP41" i="15"/>
  <c r="DS28" i="15"/>
  <c r="CI28" i="15"/>
  <c r="DA28" i="15"/>
  <c r="DG28" i="15"/>
  <c r="DM28" i="15"/>
  <c r="DJ16" i="15"/>
  <c r="CJ16" i="15"/>
  <c r="CH16" i="15" s="1"/>
  <c r="CY16" i="15" s="1"/>
  <c r="CX16" i="15"/>
  <c r="DD16" i="15"/>
  <c r="DP16" i="15"/>
  <c r="AV60" i="15"/>
  <c r="AH60" i="15"/>
  <c r="AI60" i="15" s="1"/>
  <c r="DM24" i="15"/>
  <c r="DA24" i="15"/>
  <c r="DG24" i="15"/>
  <c r="DS24" i="15"/>
  <c r="CI24" i="15"/>
  <c r="DC38" i="15"/>
  <c r="CM67" i="15"/>
  <c r="CJ103" i="15" s="1"/>
  <c r="CX115" i="15"/>
  <c r="CX107" i="15"/>
  <c r="AV35" i="15"/>
  <c r="AH35" i="15"/>
  <c r="AI35" i="15" s="1"/>
  <c r="CM42" i="15"/>
  <c r="CP42" i="15"/>
  <c r="AQ71" i="15"/>
  <c r="BK71" i="15" s="1"/>
  <c r="BA71" i="15"/>
  <c r="DC21" i="15"/>
  <c r="DM45" i="15"/>
  <c r="DG45" i="15"/>
  <c r="CI45" i="15"/>
  <c r="DB45" i="15" s="1"/>
  <c r="DA45" i="15"/>
  <c r="DS45" i="15"/>
  <c r="X45" i="15"/>
  <c r="CZ63" i="15"/>
  <c r="CM25" i="15"/>
  <c r="CP25" i="15"/>
  <c r="CM47" i="15"/>
  <c r="CP47" i="15"/>
  <c r="CX125" i="15"/>
  <c r="AV11" i="15"/>
  <c r="AH11" i="15"/>
  <c r="AI11" i="15" s="1"/>
  <c r="CH71" i="15"/>
  <c r="CJ117" i="15"/>
  <c r="CZ46" i="15"/>
  <c r="DC39" i="15"/>
  <c r="AF29" i="15"/>
  <c r="AZ29" i="15" s="1"/>
  <c r="AY29" i="15"/>
  <c r="CX118" i="15"/>
  <c r="CX110" i="15"/>
  <c r="CS9" i="15" a="1"/>
  <c r="CS9" i="15" s="1"/>
  <c r="AY46" i="15"/>
  <c r="AF46" i="15"/>
  <c r="AZ46" i="15" s="1"/>
  <c r="CM27" i="15"/>
  <c r="CP27" i="15"/>
  <c r="DB10" i="15"/>
  <c r="DC10" i="15" s="1"/>
  <c r="AI52" i="14"/>
  <c r="AI46" i="14"/>
  <c r="H52" i="14"/>
  <c r="H46" i="14"/>
  <c r="Y52" i="14"/>
  <c r="Y46" i="14"/>
  <c r="G52" i="14"/>
  <c r="G46" i="14"/>
  <c r="K52" i="14"/>
  <c r="K46" i="14"/>
  <c r="Z52" i="14"/>
  <c r="Z46" i="14"/>
  <c r="AB46" i="14"/>
  <c r="AB52" i="14"/>
  <c r="D46" i="14"/>
  <c r="D52" i="14"/>
  <c r="C46" i="14"/>
  <c r="C52" i="14"/>
  <c r="AB12" i="15"/>
  <c r="AW12" i="15"/>
  <c r="BY12" i="15"/>
  <c r="CP68" i="15"/>
  <c r="CJ109" i="15" s="1"/>
  <c r="CP38" i="15"/>
  <c r="CS50" i="15" a="1"/>
  <c r="CS50" i="15" s="1"/>
  <c r="AV70" i="15"/>
  <c r="AV51" i="15"/>
  <c r="AH51" i="15"/>
  <c r="AI51" i="15" s="1"/>
  <c r="DP40" i="15"/>
  <c r="CX40" i="15"/>
  <c r="DD40" i="15"/>
  <c r="CJ40" i="15"/>
  <c r="CH40" i="15" s="1"/>
  <c r="CY40" i="15" s="1"/>
  <c r="DJ40" i="15"/>
  <c r="DJ32" i="15"/>
  <c r="CJ32" i="15"/>
  <c r="CH32" i="15" s="1"/>
  <c r="CY32" i="15" s="1"/>
  <c r="DP32" i="15"/>
  <c r="DD32" i="15"/>
  <c r="X32" i="15"/>
  <c r="CX32" i="15"/>
  <c r="BY24" i="15"/>
  <c r="AW24" i="15"/>
  <c r="AB24" i="15"/>
  <c r="AB26" i="15"/>
  <c r="AW26" i="15"/>
  <c r="BY26" i="15"/>
  <c r="CX116" i="15"/>
  <c r="CX108" i="15"/>
  <c r="CX113" i="15"/>
  <c r="CX105" i="15"/>
  <c r="AV25" i="15"/>
  <c r="AH25" i="15"/>
  <c r="AI25" i="15" s="1"/>
  <c r="CZ20" i="15"/>
  <c r="BY71" i="15"/>
  <c r="AW71" i="15"/>
  <c r="AB71" i="15"/>
  <c r="AS67" i="15"/>
  <c r="AT67" i="15" s="1"/>
  <c r="BJ67" i="15"/>
  <c r="AZ68" i="15"/>
  <c r="AP68" i="15"/>
  <c r="BJ68" i="15" s="1"/>
  <c r="AB45" i="15"/>
  <c r="AW45" i="15"/>
  <c r="BY45" i="15"/>
  <c r="CP10" i="15"/>
  <c r="CM10" i="15"/>
  <c r="CP63" i="15"/>
  <c r="CM63" i="15"/>
  <c r="DB47" i="15"/>
  <c r="DC47" i="15" s="1"/>
  <c r="DB63" i="15"/>
  <c r="DC63" i="15" s="1"/>
  <c r="CJ36" i="15"/>
  <c r="CH36" i="15" s="1"/>
  <c r="CY36" i="15" s="1"/>
  <c r="DP36" i="15"/>
  <c r="CX36" i="15"/>
  <c r="DD36" i="15"/>
  <c r="DJ36" i="15"/>
  <c r="AV14" i="15"/>
  <c r="AH14" i="15"/>
  <c r="AI14" i="15" s="1"/>
  <c r="AH63" i="15"/>
  <c r="AI63" i="15" s="1"/>
  <c r="BI70" i="15"/>
  <c r="DB69" i="15"/>
  <c r="DC69" i="15" s="1"/>
  <c r="CM69" i="15"/>
  <c r="CP69" i="15"/>
  <c r="CX119" i="15"/>
  <c r="CX111" i="15"/>
  <c r="CI107" i="15"/>
  <c r="CK107" i="15" s="1"/>
  <c r="BI68" i="15"/>
  <c r="AB46" i="15"/>
  <c r="AW46" i="15"/>
  <c r="BY46" i="15"/>
  <c r="AV34" i="15"/>
  <c r="AH34" i="15"/>
  <c r="AI34" i="15" s="1"/>
  <c r="X52" i="14"/>
  <c r="X46" i="14"/>
  <c r="R46" i="14"/>
  <c r="R52" i="14"/>
  <c r="AA46" i="14"/>
  <c r="AA52" i="14"/>
  <c r="AE46" i="14"/>
  <c r="AE52" i="14"/>
  <c r="L52" i="14"/>
  <c r="L46" i="14"/>
  <c r="P52" i="14"/>
  <c r="P46" i="14"/>
  <c r="AG46" i="14"/>
  <c r="AG52" i="14"/>
  <c r="S46" i="14"/>
  <c r="S52" i="14"/>
  <c r="AF12" i="15"/>
  <c r="AZ12" i="15" s="1"/>
  <c r="X12" i="15"/>
  <c r="DM12" i="15"/>
  <c r="DA12" i="15"/>
  <c r="CI12" i="15"/>
  <c r="DG12" i="15"/>
  <c r="DS12" i="15"/>
  <c r="CP34" i="15"/>
  <c r="CS55" i="15" a="1"/>
  <c r="CS55" i="15" s="1"/>
  <c r="CS49" i="15" a="1"/>
  <c r="CS49" i="15" s="1"/>
  <c r="X28" i="15"/>
  <c r="AV21" i="15"/>
  <c r="AH21" i="15"/>
  <c r="AI21" i="15" s="1"/>
  <c r="AF28" i="15"/>
  <c r="AZ28" i="15" s="1"/>
  <c r="AV13" i="15"/>
  <c r="AH13" i="15"/>
  <c r="AI13" i="15" s="1"/>
  <c r="CP60" i="15"/>
  <c r="CM60" i="15"/>
  <c r="AC16" i="15"/>
  <c r="AE16" i="15"/>
  <c r="U16" i="15"/>
  <c r="BX16" i="15" s="1"/>
  <c r="AG16" i="15"/>
  <c r="BA16" i="15" s="1"/>
  <c r="W16" i="15"/>
  <c r="X16" i="15" s="1"/>
  <c r="DA33" i="15"/>
  <c r="CI33" i="15"/>
  <c r="DB33" i="15" s="1"/>
  <c r="DM33" i="15"/>
  <c r="DG33" i="15"/>
  <c r="DS33" i="15"/>
  <c r="AH68" i="15"/>
  <c r="AI68" i="15" s="1"/>
  <c r="AV68" i="15"/>
  <c r="CZ45" i="15"/>
  <c r="DM26" i="15"/>
  <c r="CI26" i="15"/>
  <c r="DB26" i="15" s="1"/>
  <c r="DS26" i="15"/>
  <c r="DG26" i="15"/>
  <c r="DA26" i="15"/>
  <c r="CX114" i="15"/>
  <c r="CX106" i="15"/>
  <c r="CM35" i="15"/>
  <c r="CP35" i="15"/>
  <c r="AV22" i="15"/>
  <c r="AV10" i="15"/>
  <c r="AH10" i="15"/>
  <c r="AI10" i="15" s="1"/>
  <c r="CP11" i="15"/>
  <c r="DS71" i="15"/>
  <c r="DM71" i="15"/>
  <c r="DA71" i="15"/>
  <c r="CI71" i="15"/>
  <c r="DG71" i="15"/>
  <c r="CP61" i="15"/>
  <c r="DB61" i="15"/>
  <c r="DC61" i="15" s="1"/>
  <c r="CM23" i="15"/>
  <c r="DC68" i="15"/>
  <c r="AY45" i="15"/>
  <c r="AF45" i="15"/>
  <c r="AZ45" i="15" s="1"/>
  <c r="CM39" i="15"/>
  <c r="CP39" i="15"/>
  <c r="CZ10" i="15"/>
  <c r="DC25" i="15"/>
  <c r="CM43" i="15"/>
  <c r="CX128" i="15"/>
  <c r="AC36" i="15"/>
  <c r="W36" i="15"/>
  <c r="X36" i="15" s="1"/>
  <c r="AG36" i="15"/>
  <c r="BA36" i="15" s="1"/>
  <c r="AE36" i="15"/>
  <c r="AY36" i="15" s="1"/>
  <c r="AC8" i="15"/>
  <c r="AG8" i="15"/>
  <c r="BA8" i="15" s="1"/>
  <c r="AE8" i="15"/>
  <c r="AV23" i="15"/>
  <c r="AC44" i="15"/>
  <c r="AE44" i="15"/>
  <c r="U44" i="15"/>
  <c r="BX44" i="15" s="1"/>
  <c r="W44" i="15"/>
  <c r="AG44" i="15"/>
  <c r="X33" i="15"/>
  <c r="CM9" i="15"/>
  <c r="CP9" i="15"/>
  <c r="AV42" i="15"/>
  <c r="AH42" i="15"/>
  <c r="AI42" i="15" s="1"/>
  <c r="CP37" i="15"/>
  <c r="CS63" i="15" a="1"/>
  <c r="CS63" i="15" s="1"/>
  <c r="BB63" i="15"/>
  <c r="BC63" i="15" s="1"/>
  <c r="DG29" i="15"/>
  <c r="CI29" i="15"/>
  <c r="DB29" i="15" s="1"/>
  <c r="DS29" i="15"/>
  <c r="DM29" i="15"/>
  <c r="DA29" i="15"/>
  <c r="X29" i="15"/>
  <c r="AV61" i="15"/>
  <c r="AH61" i="15"/>
  <c r="AI61" i="15" s="1"/>
  <c r="DB67" i="15"/>
  <c r="DC67" i="15" s="1"/>
  <c r="CI102" i="15"/>
  <c r="CP62" i="15"/>
  <c r="DG46" i="15"/>
  <c r="CI46" i="15"/>
  <c r="DS46" i="15"/>
  <c r="DM46" i="15"/>
  <c r="DA46" i="15"/>
  <c r="DC42" i="15"/>
  <c r="AV38" i="15"/>
  <c r="AH38" i="15"/>
  <c r="AI38" i="15" s="1"/>
  <c r="CP51" i="15"/>
  <c r="B52" i="14"/>
  <c r="B46" i="14"/>
  <c r="I52" i="14"/>
  <c r="I46" i="14"/>
  <c r="E52" i="14"/>
  <c r="E46" i="14"/>
  <c r="N46" i="14"/>
  <c r="N52" i="14"/>
  <c r="V52" i="14"/>
  <c r="V46" i="14"/>
  <c r="AC52" i="14"/>
  <c r="AC46" i="14"/>
  <c r="AH52" i="14"/>
  <c r="AH46" i="14"/>
  <c r="M52" i="14"/>
  <c r="M46" i="14"/>
  <c r="U52" i="14"/>
  <c r="U46" i="14"/>
  <c r="CI32" i="15"/>
  <c r="DM32" i="15"/>
  <c r="DS32" i="15"/>
  <c r="DA32" i="15"/>
  <c r="DG32" i="15"/>
  <c r="CS30" i="15" a="1"/>
  <c r="CS30" i="15" s="1"/>
  <c r="AC40" i="15"/>
  <c r="W40" i="15"/>
  <c r="AE40" i="15"/>
  <c r="AY40" i="15" s="1"/>
  <c r="AG40" i="15"/>
  <c r="BA40" i="15" s="1"/>
  <c r="CP21" i="15"/>
  <c r="CM21" i="15"/>
  <c r="AB28" i="15"/>
  <c r="BY28" i="15"/>
  <c r="AW28" i="15"/>
  <c r="AV62" i="15"/>
  <c r="AF33" i="15"/>
  <c r="AZ33" i="15" s="1"/>
  <c r="AW33" i="15"/>
  <c r="BY33" i="15"/>
  <c r="AB33" i="15"/>
  <c r="CH67" i="15"/>
  <c r="CJ102" i="15"/>
  <c r="CZ35" i="15"/>
  <c r="AO71" i="15"/>
  <c r="AY71" i="15"/>
  <c r="AV27" i="15"/>
  <c r="AH27" i="15"/>
  <c r="AI27" i="15" s="1"/>
  <c r="CM59" i="15"/>
  <c r="CP59" i="15"/>
  <c r="CM14" i="15"/>
  <c r="CP14" i="15"/>
  <c r="AV39" i="15"/>
  <c r="AH39" i="15"/>
  <c r="AI39" i="15" s="1"/>
  <c r="CM71" i="15"/>
  <c r="CJ118" i="15" s="1"/>
  <c r="CJ44" i="15"/>
  <c r="CH44" i="15" s="1"/>
  <c r="CY44" i="15" s="1"/>
  <c r="DJ44" i="15"/>
  <c r="CX44" i="15"/>
  <c r="DP44" i="15"/>
  <c r="DD44" i="15"/>
  <c r="X24" i="15"/>
  <c r="AV59" i="15"/>
  <c r="AH59" i="15"/>
  <c r="AI59" i="15" s="1"/>
  <c r="CM46" i="15"/>
  <c r="DP12" i="15"/>
  <c r="CX12" i="15"/>
  <c r="DJ12" i="15"/>
  <c r="DD12" i="15"/>
  <c r="CJ12" i="15"/>
  <c r="CH12" i="15" s="1"/>
  <c r="CY12" i="15" s="1"/>
  <c r="BG69" i="15"/>
  <c r="AS69" i="15"/>
  <c r="AT69" i="15" s="1"/>
  <c r="AV47" i="15"/>
  <c r="AH47" i="15"/>
  <c r="AI47" i="15" s="1"/>
  <c r="AB29" i="15"/>
  <c r="AW29" i="15"/>
  <c r="BY29" i="15"/>
  <c r="AV37" i="15"/>
  <c r="AH37" i="15"/>
  <c r="AI37" i="15" s="1"/>
  <c r="CX109" i="15"/>
  <c r="CX117" i="15"/>
  <c r="CP13" i="15"/>
  <c r="T52" i="14"/>
  <c r="T46" i="14"/>
  <c r="AD52" i="14"/>
  <c r="AD46" i="14"/>
  <c r="J52" i="14"/>
  <c r="J46" i="14"/>
  <c r="O52" i="14"/>
  <c r="O46" i="14"/>
  <c r="AJ50" i="14"/>
  <c r="AJ51" i="14" s="1" a="1"/>
  <c r="AJ51" i="14" s="1"/>
  <c r="AJ46" i="14"/>
  <c r="AJ52" i="14"/>
  <c r="Q46" i="14"/>
  <c r="Q52" i="14"/>
  <c r="AF46" i="14"/>
  <c r="AF52" i="14"/>
  <c r="F52" i="14"/>
  <c r="F46" i="14"/>
  <c r="W52" i="14"/>
  <c r="W46" i="14"/>
  <c r="AB32" i="15"/>
  <c r="AW32" i="15"/>
  <c r="BY32" i="15"/>
  <c r="DA17" i="15"/>
  <c r="DG17" i="15"/>
  <c r="DM17" i="15"/>
  <c r="AB18" i="15"/>
  <c r="AV18" i="15" s="1"/>
  <c r="W18" i="15"/>
  <c r="DG18" i="15" s="1"/>
  <c r="BX48" i="15"/>
  <c r="BX31" i="15"/>
  <c r="AW17" i="15"/>
  <c r="AB17" i="15"/>
  <c r="AV17" i="15" s="1"/>
  <c r="BX53" i="15"/>
  <c r="BX17" i="15"/>
  <c r="CM54" i="15"/>
  <c r="BY17" i="15"/>
  <c r="AF17" i="15"/>
  <c r="AZ17" i="15" s="1"/>
  <c r="DB54" i="15"/>
  <c r="DC54" i="15" s="1"/>
  <c r="AF48" i="15"/>
  <c r="AZ48" i="15" s="1"/>
  <c r="BA53" i="15"/>
  <c r="BY53" i="15"/>
  <c r="AG18" i="15"/>
  <c r="U18" i="15"/>
  <c r="AH30" i="15"/>
  <c r="AI30" i="15" s="1"/>
  <c r="BA48" i="15"/>
  <c r="BY48" i="15"/>
  <c r="BA31" i="15"/>
  <c r="BY31" i="15"/>
  <c r="CP49" i="15"/>
  <c r="CY43" i="15"/>
  <c r="CZ43" i="15" s="1"/>
  <c r="CP50" i="15"/>
  <c r="CP54" i="15"/>
  <c r="CP30" i="15"/>
  <c r="CP55" i="15"/>
  <c r="CP43" i="15"/>
  <c r="BB30" i="15"/>
  <c r="BC30" i="15" s="1"/>
  <c r="AF53" i="15"/>
  <c r="AZ53" i="15" s="1"/>
  <c r="AF31" i="15"/>
  <c r="AZ31" i="15" s="1"/>
  <c r="U52" i="15"/>
  <c r="AE52" i="15"/>
  <c r="AE18" i="15"/>
  <c r="AY18" i="15" s="1"/>
  <c r="AE19" i="15"/>
  <c r="BB49" i="15"/>
  <c r="BC49" i="15" s="1"/>
  <c r="AW52" i="15"/>
  <c r="AH49" i="15"/>
  <c r="AI49" i="15" s="1"/>
  <c r="CZ53" i="15"/>
  <c r="DC49" i="15"/>
  <c r="AY53" i="15"/>
  <c r="DC50" i="15"/>
  <c r="DA53" i="15"/>
  <c r="DM53" i="15"/>
  <c r="DS53" i="15"/>
  <c r="CI53" i="15"/>
  <c r="DB53" i="15" s="1"/>
  <c r="DG53" i="15"/>
  <c r="X53" i="15"/>
  <c r="AW48" i="15"/>
  <c r="AV48" i="15"/>
  <c r="AG52" i="15"/>
  <c r="X52" i="15"/>
  <c r="CM48" i="15"/>
  <c r="AH50" i="15"/>
  <c r="AI50" i="15" s="1"/>
  <c r="AY48" i="15"/>
  <c r="AW53" i="15"/>
  <c r="DD52" i="15"/>
  <c r="CJ52" i="15"/>
  <c r="CH52" i="15" s="1"/>
  <c r="CY52" i="15" s="1"/>
  <c r="DP52" i="15"/>
  <c r="CX52" i="15"/>
  <c r="DJ52" i="15"/>
  <c r="CM49" i="15"/>
  <c r="CM50" i="15"/>
  <c r="CZ48" i="15"/>
  <c r="BB50" i="15"/>
  <c r="BC50" i="15" s="1"/>
  <c r="DG48" i="15"/>
  <c r="CI48" i="15"/>
  <c r="DB48" i="15" s="1"/>
  <c r="DM48" i="15"/>
  <c r="DS48" i="15"/>
  <c r="DA48" i="15"/>
  <c r="CM30" i="15"/>
  <c r="DC55" i="15"/>
  <c r="BB55" i="15"/>
  <c r="BC55" i="15" s="1"/>
  <c r="AV31" i="15"/>
  <c r="AH55" i="15"/>
  <c r="AI55" i="15" s="1"/>
  <c r="AY54" i="15"/>
  <c r="AH54" i="15"/>
  <c r="AI54" i="15" s="1"/>
  <c r="AW19" i="15"/>
  <c r="CM31" i="15"/>
  <c r="DM31" i="15"/>
  <c r="DA31" i="15"/>
  <c r="CI31" i="15"/>
  <c r="DB31" i="15" s="1"/>
  <c r="DS31" i="15"/>
  <c r="DG31" i="15"/>
  <c r="AY31" i="15"/>
  <c r="CZ31" i="15"/>
  <c r="U19" i="15"/>
  <c r="AG19" i="15"/>
  <c r="DM19" i="15"/>
  <c r="DA19" i="15"/>
  <c r="CI19" i="15"/>
  <c r="DS19" i="15"/>
  <c r="DG19" i="15"/>
  <c r="DJ18" i="15"/>
  <c r="CX18" i="15"/>
  <c r="CJ18" i="15"/>
  <c r="CH18" i="15" s="1"/>
  <c r="CY18" i="15" s="1"/>
  <c r="DD18" i="15"/>
  <c r="DP18" i="15"/>
  <c r="CV19" i="15" a="1"/>
  <c r="CV19" i="15" s="1"/>
  <c r="CZ17" i="15"/>
  <c r="CJ19" i="15"/>
  <c r="CH19" i="15" s="1"/>
  <c r="CY19" i="15" s="1"/>
  <c r="X19" i="15"/>
  <c r="DP19" i="15"/>
  <c r="DD19" i="15"/>
  <c r="CX19" i="15"/>
  <c r="DJ19" i="15"/>
  <c r="BF300" i="1"/>
  <c r="BK300" i="1"/>
  <c r="BL300" i="1" s="1"/>
  <c r="BA300" i="1"/>
  <c r="J300" i="1"/>
  <c r="M300" i="1"/>
  <c r="O300" i="1" s="1"/>
  <c r="AV67" i="15" l="1"/>
  <c r="AZ70" i="15"/>
  <c r="AH62" i="15"/>
  <c r="AI62" i="15" s="1"/>
  <c r="DC70" i="15"/>
  <c r="AH43" i="15"/>
  <c r="AI43" i="15" s="1"/>
  <c r="CP70" i="15"/>
  <c r="CJ114" i="15" s="1"/>
  <c r="DB24" i="15"/>
  <c r="DC23" i="15"/>
  <c r="DC62" i="15"/>
  <c r="AP70" i="15"/>
  <c r="BJ70" i="15" s="1"/>
  <c r="BM70" i="15" s="1"/>
  <c r="BN70" i="15" s="1"/>
  <c r="CP23" i="15"/>
  <c r="AS68" i="15"/>
  <c r="AT68" i="15" s="1"/>
  <c r="DM20" i="15"/>
  <c r="AH23" i="15"/>
  <c r="AI23" i="15" s="1"/>
  <c r="CP22" i="15"/>
  <c r="DB28" i="15"/>
  <c r="DC28" i="15" s="1"/>
  <c r="DC22" i="15"/>
  <c r="CY70" i="15"/>
  <c r="CZ70" i="15" s="1"/>
  <c r="CH112" i="15"/>
  <c r="BY20" i="15"/>
  <c r="AH22" i="15"/>
  <c r="AI22" i="15" s="1"/>
  <c r="DS20" i="15"/>
  <c r="CV67" i="15" a="1"/>
  <c r="CV67" i="15" s="1"/>
  <c r="CJ106" i="15" s="1"/>
  <c r="DG20" i="15"/>
  <c r="CM20" i="15"/>
  <c r="BB69" i="15"/>
  <c r="BC69" i="15" s="1"/>
  <c r="CI20" i="15"/>
  <c r="DB20" i="15" s="1"/>
  <c r="DA20" i="15"/>
  <c r="CM17" i="15"/>
  <c r="Q47" i="14"/>
  <c r="Q54" i="14" s="1"/>
  <c r="J50" i="14"/>
  <c r="AB20" i="15"/>
  <c r="AV20" i="15" s="1"/>
  <c r="CZ32" i="15"/>
  <c r="CP71" i="15"/>
  <c r="CJ119" i="15" s="1"/>
  <c r="AF47" i="14"/>
  <c r="AF54" i="14" s="1"/>
  <c r="AH47" i="14"/>
  <c r="AH54" i="14" s="1"/>
  <c r="AZ71" i="15"/>
  <c r="T47" i="14"/>
  <c r="T54" i="14" s="1"/>
  <c r="B50" i="14"/>
  <c r="I47" i="14"/>
  <c r="I54" i="14" s="1"/>
  <c r="Q50" i="14"/>
  <c r="E47" i="14"/>
  <c r="E54" i="14" s="1"/>
  <c r="W47" i="14"/>
  <c r="W54" i="14" s="1"/>
  <c r="X50" i="14"/>
  <c r="F50" i="14"/>
  <c r="AC47" i="14"/>
  <c r="AC54" i="14" s="1"/>
  <c r="AV15" i="15"/>
  <c r="AH15" i="15"/>
  <c r="AI15" i="15" s="1"/>
  <c r="DC15" i="15"/>
  <c r="CM15" i="15"/>
  <c r="CP15" i="15"/>
  <c r="Z47" i="14"/>
  <c r="Z54" i="14" s="1"/>
  <c r="W50" i="14"/>
  <c r="AH50" i="14"/>
  <c r="AJ47" i="14"/>
  <c r="AJ54" i="14" s="1"/>
  <c r="AD50" i="14"/>
  <c r="M50" i="14"/>
  <c r="L47" i="14"/>
  <c r="L54" i="14" s="1"/>
  <c r="N47" i="14"/>
  <c r="N54" i="14" s="1"/>
  <c r="BB41" i="15"/>
  <c r="BC41" i="15" s="1"/>
  <c r="AF50" i="14"/>
  <c r="O50" i="14"/>
  <c r="U50" i="14"/>
  <c r="V47" i="14"/>
  <c r="V54" i="14" s="1"/>
  <c r="S47" i="14"/>
  <c r="S54" i="14" s="1"/>
  <c r="J47" i="14"/>
  <c r="J54" i="14" s="1"/>
  <c r="AF20" i="15"/>
  <c r="AZ20" i="15" s="1"/>
  <c r="AA47" i="14"/>
  <c r="AA54" i="14" s="1"/>
  <c r="DB32" i="15"/>
  <c r="DC32" i="15" s="1"/>
  <c r="F47" i="14"/>
  <c r="F54" i="14" s="1"/>
  <c r="O47" i="14"/>
  <c r="O54" i="14" s="1"/>
  <c r="M47" i="14"/>
  <c r="M54" i="14" s="1"/>
  <c r="DC26" i="15"/>
  <c r="DC33" i="15"/>
  <c r="AA50" i="14"/>
  <c r="CZ125" i="15"/>
  <c r="G50" i="14"/>
  <c r="CM36" i="15"/>
  <c r="CM16" i="15"/>
  <c r="AD60" i="14"/>
  <c r="AD58" i="14"/>
  <c r="AV29" i="15"/>
  <c r="AH29" i="15"/>
  <c r="AI29" i="15" s="1"/>
  <c r="CZ12" i="15"/>
  <c r="CM24" i="15"/>
  <c r="CP24" i="15"/>
  <c r="CS27" i="15" a="1"/>
  <c r="CS27" i="15" s="1"/>
  <c r="BB27" i="15"/>
  <c r="BC27" i="15" s="1"/>
  <c r="CI40" i="15"/>
  <c r="DB40" i="15" s="1"/>
  <c r="DA40" i="15"/>
  <c r="DM40" i="15"/>
  <c r="DS40" i="15"/>
  <c r="DG40" i="15"/>
  <c r="AH58" i="14"/>
  <c r="AH56" i="14"/>
  <c r="AH55" i="14"/>
  <c r="N55" i="14"/>
  <c r="N59" i="14"/>
  <c r="E50" i="14"/>
  <c r="DB46" i="15"/>
  <c r="DC46" i="15" s="1"/>
  <c r="CY117" i="15"/>
  <c r="CY109" i="15"/>
  <c r="CS42" i="15" a="1"/>
  <c r="CS42" i="15" s="1"/>
  <c r="BB42" i="15"/>
  <c r="BC42" i="15" s="1"/>
  <c r="BY44" i="15"/>
  <c r="BA44" i="15"/>
  <c r="AB44" i="15"/>
  <c r="AW44" i="15"/>
  <c r="AF8" i="15"/>
  <c r="AZ8" i="15" s="1"/>
  <c r="AF36" i="15"/>
  <c r="AZ36" i="15" s="1"/>
  <c r="BY36" i="15"/>
  <c r="AW36" i="15"/>
  <c r="AB36" i="15"/>
  <c r="CS68" i="15" a="1"/>
  <c r="CS68" i="15" s="1"/>
  <c r="CJ110" i="15" s="1"/>
  <c r="BB68" i="15"/>
  <c r="BC68" i="15" s="1"/>
  <c r="S50" i="14"/>
  <c r="AG60" i="14"/>
  <c r="AG59" i="14"/>
  <c r="AG56" i="14"/>
  <c r="AG58" i="14"/>
  <c r="P59" i="14"/>
  <c r="P60" i="14"/>
  <c r="P58" i="14"/>
  <c r="AE60" i="14"/>
  <c r="AE58" i="14"/>
  <c r="R50" i="14"/>
  <c r="CV68" i="15" a="1"/>
  <c r="CV68" i="15" s="1"/>
  <c r="CJ111" i="15" s="1"/>
  <c r="BM68" i="15"/>
  <c r="BN68" i="15" s="1"/>
  <c r="X40" i="15"/>
  <c r="BB70" i="15"/>
  <c r="BC70" i="15" s="1"/>
  <c r="CS70" i="15" a="1"/>
  <c r="CS70" i="15" s="1"/>
  <c r="CJ115" i="15" s="1"/>
  <c r="AV12" i="15"/>
  <c r="AH12" i="15"/>
  <c r="AI12" i="15" s="1"/>
  <c r="D59" i="14"/>
  <c r="AB47" i="14"/>
  <c r="AB54" i="14" s="1"/>
  <c r="Z50" i="14"/>
  <c r="Y50" i="14"/>
  <c r="H59" i="14"/>
  <c r="H60" i="14"/>
  <c r="H58" i="14"/>
  <c r="H56" i="14"/>
  <c r="CS54" i="15" a="1"/>
  <c r="CS54" i="15" s="1"/>
  <c r="CS48" i="15" a="1"/>
  <c r="CS48" i="15" s="1"/>
  <c r="AJ56" i="14"/>
  <c r="AJ60" i="14"/>
  <c r="AJ55" i="14"/>
  <c r="AJ57" i="14"/>
  <c r="AJ58" i="14"/>
  <c r="AJ59" i="14"/>
  <c r="J60" i="14"/>
  <c r="J58" i="14"/>
  <c r="J55" i="14"/>
  <c r="CZ109" i="15"/>
  <c r="CZ117" i="15"/>
  <c r="CS37" i="15" a="1"/>
  <c r="CS37" i="15" s="1"/>
  <c r="BB37" i="15"/>
  <c r="BC37" i="15" s="1"/>
  <c r="BM69" i="15"/>
  <c r="BN69" i="15" s="1"/>
  <c r="CV69" i="15" a="1"/>
  <c r="CV69" i="15" s="1"/>
  <c r="CS39" i="15" a="1"/>
  <c r="CS39" i="15" s="1"/>
  <c r="BB39" i="15"/>
  <c r="BC39" i="15" s="1"/>
  <c r="CY67" i="15"/>
  <c r="CH102" i="15"/>
  <c r="CK102" i="15" s="1"/>
  <c r="AF40" i="15"/>
  <c r="AZ40" i="15" s="1"/>
  <c r="BY40" i="15"/>
  <c r="AW40" i="15"/>
  <c r="AB40" i="15"/>
  <c r="U47" i="14"/>
  <c r="U54" i="14" s="1"/>
  <c r="M58" i="14"/>
  <c r="M55" i="14"/>
  <c r="M60" i="14"/>
  <c r="AC50" i="14"/>
  <c r="V58" i="14"/>
  <c r="V60" i="14"/>
  <c r="V59" i="14"/>
  <c r="V55" i="14"/>
  <c r="B47" i="14"/>
  <c r="B54" i="14" s="1"/>
  <c r="CI44" i="15"/>
  <c r="DB44" i="15" s="1"/>
  <c r="DS44" i="15"/>
  <c r="DG44" i="15"/>
  <c r="DM44" i="15"/>
  <c r="X44" i="15"/>
  <c r="DA44" i="15"/>
  <c r="DB71" i="15"/>
  <c r="DC71" i="15" s="1"/>
  <c r="CI117" i="15"/>
  <c r="CS22" i="15" a="1"/>
  <c r="CS22" i="15" s="1"/>
  <c r="BB22" i="15"/>
  <c r="BC22" i="15" s="1"/>
  <c r="CS53" i="15" a="1"/>
  <c r="CS53" i="15" s="1"/>
  <c r="S60" i="14"/>
  <c r="S59" i="14"/>
  <c r="AG47" i="14"/>
  <c r="AG54" i="14" s="1"/>
  <c r="L50" i="14"/>
  <c r="AE47" i="14"/>
  <c r="AE54" i="14" s="1"/>
  <c r="CS34" i="15" a="1"/>
  <c r="CS34" i="15" s="1"/>
  <c r="BB34" i="15"/>
  <c r="BC34" i="15" s="1"/>
  <c r="AV46" i="15"/>
  <c r="AH46" i="15"/>
  <c r="AI46" i="15" s="1"/>
  <c r="CI112" i="15"/>
  <c r="AV26" i="15"/>
  <c r="AH26" i="15"/>
  <c r="AI26" i="15" s="1"/>
  <c r="C59" i="14"/>
  <c r="D47" i="14"/>
  <c r="D54" i="14" s="1"/>
  <c r="AB50" i="14"/>
  <c r="K47" i="14"/>
  <c r="K54" i="14" s="1"/>
  <c r="G47" i="14"/>
  <c r="G54" i="14" s="1"/>
  <c r="Y59" i="14"/>
  <c r="Y58" i="14"/>
  <c r="Y60" i="14"/>
  <c r="AI50" i="14"/>
  <c r="AI51" i="14" s="1" a="1"/>
  <c r="AI51" i="14" s="1"/>
  <c r="AI55" i="14" s="1"/>
  <c r="BM67" i="15"/>
  <c r="BN67" i="15" s="1"/>
  <c r="CY71" i="15"/>
  <c r="CZ71" i="15" s="1"/>
  <c r="CH117" i="15"/>
  <c r="CM45" i="15"/>
  <c r="CP45" i="15"/>
  <c r="F59" i="14"/>
  <c r="Q59" i="14"/>
  <c r="Q60" i="14"/>
  <c r="Q55" i="14"/>
  <c r="O60" i="14"/>
  <c r="O59" i="14"/>
  <c r="O55" i="14"/>
  <c r="T60" i="14"/>
  <c r="T58" i="14"/>
  <c r="T55" i="14"/>
  <c r="T59" i="14"/>
  <c r="BI71" i="15"/>
  <c r="AS71" i="15"/>
  <c r="AT71" i="15" s="1"/>
  <c r="CS43" i="15" a="1"/>
  <c r="CS43" i="15" s="1"/>
  <c r="BB43" i="15"/>
  <c r="BC43" i="15" s="1"/>
  <c r="AV33" i="15"/>
  <c r="AH33" i="15"/>
  <c r="AI33" i="15" s="1"/>
  <c r="AV28" i="15"/>
  <c r="AH28" i="15"/>
  <c r="AI28" i="15" s="1"/>
  <c r="U59" i="14"/>
  <c r="U60" i="14"/>
  <c r="U55" i="14"/>
  <c r="V50" i="14"/>
  <c r="I50" i="14"/>
  <c r="B57" i="14"/>
  <c r="B59" i="14"/>
  <c r="B56" i="14"/>
  <c r="CS38" i="15" a="1"/>
  <c r="CS38" i="15" s="1"/>
  <c r="BB38" i="15"/>
  <c r="BC38" i="15" s="1"/>
  <c r="CS61" i="15" a="1"/>
  <c r="CS61" i="15" s="1"/>
  <c r="BB61" i="15"/>
  <c r="BC61" i="15" s="1"/>
  <c r="CS23" i="15" a="1"/>
  <c r="CS23" i="15" s="1"/>
  <c r="BB23" i="15"/>
  <c r="BC23" i="15" s="1"/>
  <c r="AY16" i="15"/>
  <c r="AF16" i="15"/>
  <c r="AZ16" i="15" s="1"/>
  <c r="CS21" i="15" a="1"/>
  <c r="CS21" i="15" s="1"/>
  <c r="BB21" i="15"/>
  <c r="BC21" i="15" s="1"/>
  <c r="CP12" i="15"/>
  <c r="CM12" i="15"/>
  <c r="P47" i="14"/>
  <c r="P54" i="14" s="1"/>
  <c r="AE50" i="14"/>
  <c r="R59" i="14"/>
  <c r="R55" i="14"/>
  <c r="X47" i="14"/>
  <c r="X54" i="14" s="1"/>
  <c r="CP46" i="15"/>
  <c r="CV70" i="15" a="1"/>
  <c r="CV70" i="15" s="1"/>
  <c r="CJ116" i="15" s="1"/>
  <c r="AV45" i="15"/>
  <c r="AH45" i="15"/>
  <c r="AI45" i="15" s="1"/>
  <c r="CS25" i="15" a="1"/>
  <c r="CS25" i="15" s="1"/>
  <c r="BB25" i="15"/>
  <c r="BC25" i="15" s="1"/>
  <c r="AV24" i="15"/>
  <c r="AH24" i="15"/>
  <c r="AI24" i="15" s="1"/>
  <c r="CM32" i="15"/>
  <c r="CP32" i="15"/>
  <c r="CS51" i="15" a="1"/>
  <c r="CS51" i="15" s="1"/>
  <c r="BB51" i="15"/>
  <c r="BC51" i="15" s="1"/>
  <c r="C47" i="14"/>
  <c r="C54" i="14" s="1"/>
  <c r="D50" i="14"/>
  <c r="K58" i="14"/>
  <c r="K60" i="14"/>
  <c r="K55" i="14"/>
  <c r="G59" i="14"/>
  <c r="G60" i="14"/>
  <c r="G56" i="14"/>
  <c r="H50" i="14"/>
  <c r="AI47" i="14"/>
  <c r="AI54" i="14" s="1"/>
  <c r="CS35" i="15" a="1"/>
  <c r="CS35" i="15" s="1"/>
  <c r="BB35" i="15"/>
  <c r="BC35" i="15" s="1"/>
  <c r="CP26" i="15"/>
  <c r="CS31" i="15" a="1"/>
  <c r="CS31" i="15" s="1"/>
  <c r="CS17" i="15" a="1"/>
  <c r="CS17" i="15" s="1"/>
  <c r="AV32" i="15"/>
  <c r="AH32" i="15"/>
  <c r="AI32" i="15" s="1"/>
  <c r="W58" i="14"/>
  <c r="W59" i="14"/>
  <c r="W60" i="14"/>
  <c r="W55" i="14"/>
  <c r="AF58" i="14"/>
  <c r="AF60" i="14"/>
  <c r="AF56" i="14"/>
  <c r="AD47" i="14"/>
  <c r="AD54" i="14" s="1"/>
  <c r="T50" i="14"/>
  <c r="CS47" i="15" a="1"/>
  <c r="CS47" i="15" s="1"/>
  <c r="BB47" i="15"/>
  <c r="BC47" i="15" s="1"/>
  <c r="CS59" i="15" a="1"/>
  <c r="CS59" i="15" s="1"/>
  <c r="BB59" i="15"/>
  <c r="BC59" i="15" s="1"/>
  <c r="CZ44" i="15"/>
  <c r="CS62" i="15" a="1"/>
  <c r="CS62" i="15" s="1"/>
  <c r="BB62" i="15"/>
  <c r="BC62" i="15" s="1"/>
  <c r="AC58" i="14"/>
  <c r="AC60" i="14"/>
  <c r="AC59" i="14"/>
  <c r="N50" i="14"/>
  <c r="E60" i="14"/>
  <c r="E59" i="14"/>
  <c r="I55" i="14"/>
  <c r="I59" i="14"/>
  <c r="I60" i="14"/>
  <c r="I56" i="14"/>
  <c r="AH20" i="15"/>
  <c r="AI20" i="15" s="1"/>
  <c r="CM29" i="15"/>
  <c r="CP29" i="15"/>
  <c r="DC29" i="15"/>
  <c r="CP33" i="15"/>
  <c r="CM33" i="15"/>
  <c r="AY44" i="15"/>
  <c r="AF44" i="15"/>
  <c r="AZ44" i="15" s="1"/>
  <c r="AB8" i="15"/>
  <c r="BY8" i="15"/>
  <c r="DS36" i="15"/>
  <c r="DA36" i="15"/>
  <c r="DM36" i="15"/>
  <c r="CI36" i="15"/>
  <c r="DB36" i="15" s="1"/>
  <c r="DG36" i="15"/>
  <c r="CS10" i="15" a="1"/>
  <c r="CS10" i="15" s="1"/>
  <c r="BB10" i="15"/>
  <c r="BC10" i="15" s="1"/>
  <c r="DG16" i="15"/>
  <c r="DS16" i="15"/>
  <c r="CI16" i="15"/>
  <c r="DB16" i="15" s="1"/>
  <c r="DA16" i="15"/>
  <c r="DM16" i="15"/>
  <c r="AW16" i="15"/>
  <c r="AB16" i="15"/>
  <c r="BY16" i="15"/>
  <c r="CS13" i="15" a="1"/>
  <c r="CS13" i="15" s="1"/>
  <c r="BB13" i="15"/>
  <c r="BC13" i="15" s="1"/>
  <c r="CM28" i="15"/>
  <c r="CP28" i="15"/>
  <c r="DB12" i="15"/>
  <c r="DC12" i="15" s="1"/>
  <c r="AG50" i="14"/>
  <c r="P50" i="14"/>
  <c r="L58" i="14"/>
  <c r="L60" i="14"/>
  <c r="L59" i="14"/>
  <c r="L55" i="14"/>
  <c r="AA60" i="14"/>
  <c r="AA58" i="14"/>
  <c r="R47" i="14"/>
  <c r="R54" i="14" s="1"/>
  <c r="X60" i="14"/>
  <c r="X59" i="14"/>
  <c r="X58" i="14"/>
  <c r="X55" i="14"/>
  <c r="CS14" i="15" a="1"/>
  <c r="CS14" i="15" s="1"/>
  <c r="BB14" i="15"/>
  <c r="BC14" i="15" s="1"/>
  <c r="CZ36" i="15"/>
  <c r="AV71" i="15"/>
  <c r="AH71" i="15"/>
  <c r="AI71" i="15" s="1"/>
  <c r="CZ40" i="15"/>
  <c r="C50" i="14"/>
  <c r="AB58" i="14"/>
  <c r="AB60" i="14"/>
  <c r="Z58" i="14"/>
  <c r="Z60" i="14"/>
  <c r="Z59" i="14"/>
  <c r="K50" i="14"/>
  <c r="Y47" i="14"/>
  <c r="Y54" i="14" s="1"/>
  <c r="H47" i="14"/>
  <c r="H54" i="14" s="1"/>
  <c r="AI60" i="14"/>
  <c r="AI59" i="14"/>
  <c r="AI58" i="14"/>
  <c r="AI56" i="14"/>
  <c r="CS67" i="15" a="1"/>
  <c r="CS67" i="15" s="1"/>
  <c r="CJ105" i="15" s="1"/>
  <c r="BB67" i="15"/>
  <c r="BC67" i="15" s="1"/>
  <c r="CS11" i="15" a="1"/>
  <c r="CS11" i="15" s="1"/>
  <c r="BB11" i="15"/>
  <c r="BC11" i="15" s="1"/>
  <c r="DC45" i="15"/>
  <c r="CP67" i="15"/>
  <c r="CJ104" i="15" s="1"/>
  <c r="DC24" i="15"/>
  <c r="CS60" i="15" a="1"/>
  <c r="CS60" i="15" s="1"/>
  <c r="BB60" i="15"/>
  <c r="BC60" i="15" s="1"/>
  <c r="CZ16" i="15"/>
  <c r="CI18" i="15"/>
  <c r="DB18" i="15" s="1"/>
  <c r="DA18" i="15"/>
  <c r="DC17" i="15"/>
  <c r="DS18" i="15"/>
  <c r="DM18" i="15"/>
  <c r="X18" i="15"/>
  <c r="CP17" i="15"/>
  <c r="BX19" i="15"/>
  <c r="BX52" i="15"/>
  <c r="BX18" i="15"/>
  <c r="BB17" i="15"/>
  <c r="BC17" i="15" s="1"/>
  <c r="AH17" i="15"/>
  <c r="AI17" i="15" s="1"/>
  <c r="BA19" i="15"/>
  <c r="BY19" i="15"/>
  <c r="AF19" i="15"/>
  <c r="AZ19" i="15" s="1"/>
  <c r="BA18" i="15"/>
  <c r="BY18" i="15"/>
  <c r="BA52" i="15"/>
  <c r="BY52" i="15"/>
  <c r="CP53" i="15"/>
  <c r="CP31" i="15"/>
  <c r="CP48" i="15"/>
  <c r="AF18" i="15"/>
  <c r="AZ18" i="15" s="1"/>
  <c r="AF52" i="15"/>
  <c r="AZ52" i="15" s="1"/>
  <c r="AV52" i="15"/>
  <c r="AH53" i="15"/>
  <c r="AI53" i="15" s="1"/>
  <c r="BB53" i="15"/>
  <c r="BC53" i="15" s="1"/>
  <c r="AV19" i="15"/>
  <c r="CM52" i="15"/>
  <c r="AH48" i="15"/>
  <c r="AI48" i="15" s="1"/>
  <c r="CM53" i="15"/>
  <c r="DC48" i="15"/>
  <c r="DG52" i="15"/>
  <c r="DS52" i="15"/>
  <c r="DA52" i="15"/>
  <c r="CI52" i="15"/>
  <c r="DB52" i="15" s="1"/>
  <c r="DM52" i="15"/>
  <c r="CZ52" i="15"/>
  <c r="BB48" i="15"/>
  <c r="BC48" i="15" s="1"/>
  <c r="DC53" i="15"/>
  <c r="BB54" i="15"/>
  <c r="BC54" i="15" s="1"/>
  <c r="BB31" i="15"/>
  <c r="BC31" i="15" s="1"/>
  <c r="AH31" i="15"/>
  <c r="AI31" i="15" s="1"/>
  <c r="DC31" i="15"/>
  <c r="AY19" i="15"/>
  <c r="CZ19" i="15"/>
  <c r="CM19" i="15"/>
  <c r="CZ18" i="15"/>
  <c r="DB19" i="15"/>
  <c r="DC19" i="15" s="1"/>
  <c r="BE300" i="1"/>
  <c r="BG300" i="1" s="1"/>
  <c r="BI300" i="1"/>
  <c r="BJ300" i="1" s="1"/>
  <c r="A259" i="1"/>
  <c r="A261" i="1"/>
  <c r="A263" i="1"/>
  <c r="A265" i="1"/>
  <c r="A267" i="1"/>
  <c r="A268" i="1"/>
  <c r="A270" i="1"/>
  <c r="A284" i="1"/>
  <c r="A254" i="1"/>
  <c r="A255" i="1"/>
  <c r="A269" i="1"/>
  <c r="A271" i="1"/>
  <c r="A272" i="1"/>
  <c r="A274" i="1"/>
  <c r="A282" i="1"/>
  <c r="A283" i="1"/>
  <c r="A258" i="1"/>
  <c r="A273" i="1"/>
  <c r="A275" i="1"/>
  <c r="A276" i="1"/>
  <c r="A278" i="1"/>
  <c r="A248" i="1"/>
  <c r="A249" i="1"/>
  <c r="A252" i="1"/>
  <c r="A253" i="1"/>
  <c r="A256" i="1"/>
  <c r="A277" i="1"/>
  <c r="A279" i="1"/>
  <c r="A280" i="1"/>
  <c r="A245" i="1"/>
  <c r="A246" i="1"/>
  <c r="A247" i="1"/>
  <c r="A250" i="1"/>
  <c r="A251" i="1"/>
  <c r="A257" i="1"/>
  <c r="A281" i="1"/>
  <c r="A260" i="1"/>
  <c r="A262" i="1"/>
  <c r="A264" i="1"/>
  <c r="A266" i="1"/>
  <c r="A34" i="1"/>
  <c r="A38" i="1"/>
  <c r="A42" i="1"/>
  <c r="A46" i="1"/>
  <c r="A50" i="1"/>
  <c r="A54" i="1"/>
  <c r="A58" i="1"/>
  <c r="A62" i="1"/>
  <c r="A35" i="1"/>
  <c r="A39" i="1"/>
  <c r="A43" i="1"/>
  <c r="A47" i="1"/>
  <c r="A51" i="1"/>
  <c r="A55" i="1"/>
  <c r="A59" i="1"/>
  <c r="A63" i="1"/>
  <c r="A36" i="1"/>
  <c r="A44" i="1"/>
  <c r="A52" i="1"/>
  <c r="A60" i="1"/>
  <c r="A66" i="1"/>
  <c r="A70" i="1"/>
  <c r="A74" i="1"/>
  <c r="A78" i="1"/>
  <c r="A82" i="1"/>
  <c r="A86" i="1"/>
  <c r="A90" i="1"/>
  <c r="A94" i="1"/>
  <c r="A98" i="1"/>
  <c r="A102" i="1"/>
  <c r="A106" i="1"/>
  <c r="A110" i="1"/>
  <c r="A114" i="1"/>
  <c r="A118" i="1"/>
  <c r="A122" i="1"/>
  <c r="A126" i="1"/>
  <c r="A130" i="1"/>
  <c r="A134" i="1"/>
  <c r="A138" i="1"/>
  <c r="A142" i="1"/>
  <c r="A146" i="1"/>
  <c r="A150" i="1"/>
  <c r="A154" i="1"/>
  <c r="A158" i="1"/>
  <c r="A162" i="1"/>
  <c r="A166" i="1"/>
  <c r="A170" i="1"/>
  <c r="A174" i="1"/>
  <c r="A178" i="1"/>
  <c r="A182" i="1"/>
  <c r="A186" i="1"/>
  <c r="A190" i="1"/>
  <c r="A194" i="1"/>
  <c r="A198" i="1"/>
  <c r="A202" i="1"/>
  <c r="A206" i="1"/>
  <c r="A210" i="1"/>
  <c r="A214" i="1"/>
  <c r="A218" i="1"/>
  <c r="A222" i="1"/>
  <c r="A226" i="1"/>
  <c r="A230" i="1"/>
  <c r="A234" i="1"/>
  <c r="A238" i="1"/>
  <c r="A242" i="1"/>
  <c r="A41" i="1"/>
  <c r="A65" i="1"/>
  <c r="A77" i="1"/>
  <c r="A89" i="1"/>
  <c r="A101" i="1"/>
  <c r="A113" i="1"/>
  <c r="A121" i="1"/>
  <c r="A133" i="1"/>
  <c r="A145" i="1"/>
  <c r="A157" i="1"/>
  <c r="A169" i="1"/>
  <c r="A177" i="1"/>
  <c r="A189" i="1"/>
  <c r="A197" i="1"/>
  <c r="A209" i="1"/>
  <c r="A221" i="1"/>
  <c r="A233" i="1"/>
  <c r="A237" i="1"/>
  <c r="A37" i="1"/>
  <c r="A45" i="1"/>
  <c r="A53" i="1"/>
  <c r="A61" i="1"/>
  <c r="A67" i="1"/>
  <c r="A71" i="1"/>
  <c r="A75" i="1"/>
  <c r="A79" i="1"/>
  <c r="A83" i="1"/>
  <c r="A87" i="1"/>
  <c r="A91" i="1"/>
  <c r="A95" i="1"/>
  <c r="A99" i="1"/>
  <c r="A103" i="1"/>
  <c r="A107" i="1"/>
  <c r="A111" i="1"/>
  <c r="A115" i="1"/>
  <c r="A119" i="1"/>
  <c r="A123" i="1"/>
  <c r="A127" i="1"/>
  <c r="A131" i="1"/>
  <c r="A135" i="1"/>
  <c r="A139" i="1"/>
  <c r="A143" i="1"/>
  <c r="A147" i="1"/>
  <c r="A151" i="1"/>
  <c r="A155" i="1"/>
  <c r="A159" i="1"/>
  <c r="A163" i="1"/>
  <c r="A167" i="1"/>
  <c r="A171" i="1"/>
  <c r="A175" i="1"/>
  <c r="A179" i="1"/>
  <c r="A183" i="1"/>
  <c r="A187" i="1"/>
  <c r="A191" i="1"/>
  <c r="A195" i="1"/>
  <c r="A199" i="1"/>
  <c r="A203" i="1"/>
  <c r="A207" i="1"/>
  <c r="A211" i="1"/>
  <c r="A215" i="1"/>
  <c r="A219" i="1"/>
  <c r="A223" i="1"/>
  <c r="A227" i="1"/>
  <c r="A231" i="1"/>
  <c r="A235" i="1"/>
  <c r="A239" i="1"/>
  <c r="A243" i="1"/>
  <c r="A33" i="1"/>
  <c r="A57" i="1"/>
  <c r="A73" i="1"/>
  <c r="A85" i="1"/>
  <c r="A97" i="1"/>
  <c r="A105" i="1"/>
  <c r="A117" i="1"/>
  <c r="A129" i="1"/>
  <c r="A141" i="1"/>
  <c r="A153" i="1"/>
  <c r="A165" i="1"/>
  <c r="A181" i="1"/>
  <c r="A193" i="1"/>
  <c r="A205" i="1"/>
  <c r="A217" i="1"/>
  <c r="A229" i="1"/>
  <c r="A241" i="1"/>
  <c r="A40" i="1"/>
  <c r="A48" i="1"/>
  <c r="A56" i="1"/>
  <c r="A64" i="1"/>
  <c r="A68" i="1"/>
  <c r="A72" i="1"/>
  <c r="A76" i="1"/>
  <c r="A80" i="1"/>
  <c r="A84" i="1"/>
  <c r="A88" i="1"/>
  <c r="A92" i="1"/>
  <c r="A96" i="1"/>
  <c r="A100" i="1"/>
  <c r="A104" i="1"/>
  <c r="A108" i="1"/>
  <c r="A112" i="1"/>
  <c r="A116" i="1"/>
  <c r="A120" i="1"/>
  <c r="A124" i="1"/>
  <c r="A128" i="1"/>
  <c r="A132" i="1"/>
  <c r="A136" i="1"/>
  <c r="A140" i="1"/>
  <c r="A144" i="1"/>
  <c r="A148" i="1"/>
  <c r="A152" i="1"/>
  <c r="A156" i="1"/>
  <c r="A160" i="1"/>
  <c r="A164" i="1"/>
  <c r="A168" i="1"/>
  <c r="A172" i="1"/>
  <c r="A176" i="1"/>
  <c r="A180" i="1"/>
  <c r="A184" i="1"/>
  <c r="A188" i="1"/>
  <c r="A192" i="1"/>
  <c r="A196" i="1"/>
  <c r="A200" i="1"/>
  <c r="A204" i="1"/>
  <c r="A208" i="1"/>
  <c r="A212" i="1"/>
  <c r="A216" i="1"/>
  <c r="A220" i="1"/>
  <c r="A224" i="1"/>
  <c r="A228" i="1"/>
  <c r="A232" i="1"/>
  <c r="A236" i="1"/>
  <c r="A240" i="1"/>
  <c r="A244" i="1"/>
  <c r="A49" i="1"/>
  <c r="A69" i="1"/>
  <c r="A81" i="1"/>
  <c r="A93" i="1"/>
  <c r="A109" i="1"/>
  <c r="A125" i="1"/>
  <c r="A137" i="1"/>
  <c r="A149" i="1"/>
  <c r="A161" i="1"/>
  <c r="A173" i="1"/>
  <c r="A185" i="1"/>
  <c r="A201" i="1"/>
  <c r="A213" i="1"/>
  <c r="A225" i="1"/>
  <c r="A4" i="1"/>
  <c r="A9" i="1"/>
  <c r="A13" i="1"/>
  <c r="A17" i="1"/>
  <c r="A21" i="1"/>
  <c r="A25" i="1"/>
  <c r="A29" i="1"/>
  <c r="A5" i="1"/>
  <c r="A20" i="1"/>
  <c r="A28" i="1"/>
  <c r="A6" i="1"/>
  <c r="A10" i="1"/>
  <c r="A14" i="1"/>
  <c r="A18" i="1"/>
  <c r="A22" i="1"/>
  <c r="A26" i="1"/>
  <c r="A30" i="1"/>
  <c r="A8" i="1"/>
  <c r="A12" i="1"/>
  <c r="A16" i="1"/>
  <c r="A24" i="1"/>
  <c r="A32" i="1"/>
  <c r="A7" i="1"/>
  <c r="A11" i="1"/>
  <c r="A15" i="1"/>
  <c r="A19" i="1"/>
  <c r="A23" i="1"/>
  <c r="A27" i="1"/>
  <c r="A31" i="1"/>
  <c r="CP20" i="15" l="1"/>
  <c r="AS70" i="15"/>
  <c r="AT70" i="15" s="1"/>
  <c r="CK112" i="15"/>
  <c r="DC20" i="15"/>
  <c r="AI57" i="14"/>
  <c r="AH18" i="15"/>
  <c r="AI18" i="15" s="1"/>
  <c r="CS18" i="15" a="1"/>
  <c r="CS18" i="15" s="1"/>
  <c r="AH51" i="14" a="1"/>
  <c r="AH51" i="14" s="1"/>
  <c r="AH60" i="14" s="1"/>
  <c r="AG51" i="14" a="1"/>
  <c r="AG51" i="14" s="1"/>
  <c r="CS15" i="15" a="1"/>
  <c r="CS15" i="15" s="1"/>
  <c r="BB15" i="15"/>
  <c r="BC15" i="15" s="1"/>
  <c r="CK117" i="15"/>
  <c r="CP18" i="15"/>
  <c r="M51" i="14" a="1"/>
  <c r="M51" i="14" s="1"/>
  <c r="M56" i="14" s="1"/>
  <c r="CM18" i="15"/>
  <c r="DC16" i="15"/>
  <c r="DC44" i="15"/>
  <c r="W51" i="14" a="1"/>
  <c r="W51" i="14" s="1"/>
  <c r="W57" i="14" s="1"/>
  <c r="DC18" i="15"/>
  <c r="J51" i="14" a="1"/>
  <c r="J51" i="14" s="1"/>
  <c r="U51" i="14" a="1"/>
  <c r="U51" i="14" s="1"/>
  <c r="U58" i="14" s="1"/>
  <c r="DC40" i="15"/>
  <c r="M59" i="14"/>
  <c r="J59" i="14"/>
  <c r="P51" i="14" a="1"/>
  <c r="P51" i="14" s="1"/>
  <c r="P57" i="14" s="1"/>
  <c r="DC36" i="15"/>
  <c r="T51" i="14" a="1"/>
  <c r="T51" i="14" s="1"/>
  <c r="T57" i="14" s="1"/>
  <c r="H51" i="14" a="1"/>
  <c r="H51" i="14" s="1"/>
  <c r="CS26" i="15" a="1"/>
  <c r="CS26" i="15" s="1"/>
  <c r="BB26" i="15"/>
  <c r="BC26" i="15" s="1"/>
  <c r="AC51" i="14" a="1"/>
  <c r="AC51" i="14" s="1"/>
  <c r="AC57" i="14" s="1"/>
  <c r="AF51" i="14" a="1"/>
  <c r="AF51" i="14" s="1"/>
  <c r="AF57" i="14" s="1"/>
  <c r="CM40" i="15"/>
  <c r="CP40" i="15"/>
  <c r="AV16" i="15"/>
  <c r="AH16" i="15"/>
  <c r="AI16" i="15" s="1"/>
  <c r="CS45" i="15" a="1"/>
  <c r="CS45" i="15" s="1"/>
  <c r="BB45" i="15"/>
  <c r="BC45" i="15" s="1"/>
  <c r="AE51" i="14" a="1"/>
  <c r="AE51" i="14" s="1"/>
  <c r="I51" i="14" a="1"/>
  <c r="I51" i="14" s="1"/>
  <c r="CS33" i="15" a="1"/>
  <c r="CS33" i="15" s="1"/>
  <c r="BB33" i="15"/>
  <c r="BC33" i="15" s="1"/>
  <c r="CS46" i="15" a="1"/>
  <c r="CS46" i="15" s="1"/>
  <c r="BB46" i="15"/>
  <c r="BC46" i="15" s="1"/>
  <c r="L51" i="14" a="1"/>
  <c r="L51" i="14" s="1"/>
  <c r="AV40" i="15"/>
  <c r="AH40" i="15"/>
  <c r="AI40" i="15" s="1"/>
  <c r="O51" i="14" a="1"/>
  <c r="O51" i="14" s="1"/>
  <c r="F51" i="14" a="1"/>
  <c r="F51" i="14" s="1"/>
  <c r="Y51" i="14" a="1"/>
  <c r="Y51" i="14" s="1"/>
  <c r="Y56" i="14" s="1"/>
  <c r="S51" i="14" a="1"/>
  <c r="S51" i="14" s="1"/>
  <c r="AV44" i="15"/>
  <c r="AH44" i="15"/>
  <c r="AI44" i="15" s="1"/>
  <c r="CP36" i="15"/>
  <c r="CS19" i="15" a="1"/>
  <c r="CS19" i="15" s="1"/>
  <c r="K51" i="14" a="1"/>
  <c r="K51" i="14" s="1"/>
  <c r="K56" i="14" s="1"/>
  <c r="C51" i="14" a="1"/>
  <c r="C51" i="14" s="1"/>
  <c r="C57" i="14" s="1"/>
  <c r="N51" i="14" a="1"/>
  <c r="N51" i="14" s="1"/>
  <c r="Q51" i="14" a="1"/>
  <c r="Q51" i="14" s="1"/>
  <c r="Q57" i="14" s="1"/>
  <c r="CS32" i="15" a="1"/>
  <c r="CS32" i="15" s="1"/>
  <c r="BB32" i="15"/>
  <c r="BC32" i="15" s="1"/>
  <c r="V51" i="14" a="1"/>
  <c r="V51" i="14" s="1"/>
  <c r="V56" i="14" s="1"/>
  <c r="AD51" i="14" a="1"/>
  <c r="AD51" i="14" s="1"/>
  <c r="X51" i="14" a="1"/>
  <c r="X51" i="14" s="1"/>
  <c r="CM44" i="15"/>
  <c r="CP44" i="15"/>
  <c r="CZ67" i="15"/>
  <c r="CY113" i="15"/>
  <c r="CY105" i="15"/>
  <c r="G51" i="14" a="1"/>
  <c r="G51" i="14" s="1"/>
  <c r="G57" i="14" s="1"/>
  <c r="B51" i="14" a="1"/>
  <c r="B51" i="14" s="1"/>
  <c r="BB71" i="15"/>
  <c r="BC71" i="15" s="1"/>
  <c r="CS71" i="15" a="1"/>
  <c r="CS71" i="15" s="1"/>
  <c r="CJ120" i="15" s="1"/>
  <c r="CS20" i="15" a="1"/>
  <c r="CS20" i="15" s="1"/>
  <c r="BB20" i="15"/>
  <c r="BC20" i="15" s="1"/>
  <c r="D51" i="14" a="1"/>
  <c r="D51" i="14" s="1"/>
  <c r="D60" i="14" s="1"/>
  <c r="CS24" i="15" a="1"/>
  <c r="CS24" i="15" s="1"/>
  <c r="BB24" i="15"/>
  <c r="BC24" i="15" s="1"/>
  <c r="CS28" i="15" a="1"/>
  <c r="CS28" i="15" s="1"/>
  <c r="BB28" i="15"/>
  <c r="BC28" i="15" s="1"/>
  <c r="CV71" i="15" a="1"/>
  <c r="CV71" i="15" s="1"/>
  <c r="CJ121" i="15" s="1"/>
  <c r="BM71" i="15"/>
  <c r="BN71" i="15" s="1"/>
  <c r="AB51" i="14" a="1"/>
  <c r="AB51" i="14" s="1"/>
  <c r="AB57" i="14" s="1"/>
  <c r="AA51" i="14" a="1"/>
  <c r="AA51" i="14" s="1"/>
  <c r="CP16" i="15"/>
  <c r="Z51" i="14" a="1"/>
  <c r="Z51" i="14" s="1"/>
  <c r="Z56" i="14" s="1"/>
  <c r="CS12" i="15" a="1"/>
  <c r="CS12" i="15" s="1"/>
  <c r="BB12" i="15"/>
  <c r="BC12" i="15" s="1"/>
  <c r="R51" i="14" a="1"/>
  <c r="R51" i="14" s="1"/>
  <c r="AV36" i="15"/>
  <c r="AH36" i="15"/>
  <c r="AI36" i="15" s="1"/>
  <c r="E51" i="14" a="1"/>
  <c r="E51" i="14" s="1"/>
  <c r="CS29" i="15" a="1"/>
  <c r="CS29" i="15" s="1"/>
  <c r="BB29" i="15"/>
  <c r="BC29" i="15" s="1"/>
  <c r="CP19" i="15"/>
  <c r="BB18" i="15"/>
  <c r="BC18" i="15" s="1"/>
  <c r="CP52" i="15"/>
  <c r="DC52" i="15"/>
  <c r="BB19" i="15"/>
  <c r="BC19" i="15" s="1"/>
  <c r="AY52" i="15"/>
  <c r="CS52" i="15" s="1" a="1"/>
  <c r="CS52" i="15" s="1"/>
  <c r="AH52" i="15"/>
  <c r="AI52" i="15" s="1"/>
  <c r="AH19" i="15"/>
  <c r="AI19" i="15" s="1"/>
  <c r="N281" i="1"/>
  <c r="R58" i="14" l="1"/>
  <c r="R60" i="14"/>
  <c r="N58" i="14"/>
  <c r="N60" i="14"/>
  <c r="J57" i="14"/>
  <c r="J56" i="14"/>
  <c r="AA55" i="14"/>
  <c r="AA59" i="14"/>
  <c r="B60" i="14"/>
  <c r="B58" i="14"/>
  <c r="F56" i="14"/>
  <c r="F58" i="14"/>
  <c r="AE56" i="14"/>
  <c r="AE59" i="14"/>
  <c r="W56" i="14"/>
  <c r="O58" i="14"/>
  <c r="O57" i="14"/>
  <c r="AK42" i="14"/>
  <c r="AG55" i="14"/>
  <c r="AH57" i="14"/>
  <c r="AH59" i="14"/>
  <c r="M57" i="14"/>
  <c r="L57" i="14"/>
  <c r="L56" i="14"/>
  <c r="S56" i="14"/>
  <c r="S57" i="14"/>
  <c r="D56" i="14"/>
  <c r="D57" i="14"/>
  <c r="C55" i="14"/>
  <c r="C58" i="14"/>
  <c r="AI42" i="14"/>
  <c r="AL42" i="14"/>
  <c r="E58" i="14"/>
  <c r="E57" i="14"/>
  <c r="AB55" i="14"/>
  <c r="AB59" i="14"/>
  <c r="AD59" i="14"/>
  <c r="AD57" i="14"/>
  <c r="R56" i="14"/>
  <c r="R57" i="14"/>
  <c r="N57" i="14"/>
  <c r="N56" i="14"/>
  <c r="AA57" i="14"/>
  <c r="AA56" i="14"/>
  <c r="Q56" i="14"/>
  <c r="Q58" i="14"/>
  <c r="AE55" i="14"/>
  <c r="AE57" i="14"/>
  <c r="F55" i="14"/>
  <c r="F57" i="14"/>
  <c r="AC56" i="14"/>
  <c r="AC55" i="14"/>
  <c r="U56" i="14"/>
  <c r="U57" i="14"/>
  <c r="AF42" i="14"/>
  <c r="AH42" i="14"/>
  <c r="AG42" i="14"/>
  <c r="AG57" i="14"/>
  <c r="CS36" i="15" a="1"/>
  <c r="CS36" i="15" s="1"/>
  <c r="BB36" i="15"/>
  <c r="BC36" i="15" s="1"/>
  <c r="B55" i="14"/>
  <c r="B42" i="14"/>
  <c r="G55" i="14"/>
  <c r="G58" i="14"/>
  <c r="I42" i="14"/>
  <c r="X42" i="14"/>
  <c r="V57" i="14"/>
  <c r="AB42" i="14"/>
  <c r="AC42" i="14"/>
  <c r="Y42" i="14"/>
  <c r="AA42" i="14"/>
  <c r="Z42" i="14"/>
  <c r="S55" i="14"/>
  <c r="J42" i="14"/>
  <c r="S58" i="14"/>
  <c r="U42" i="14"/>
  <c r="T42" i="14"/>
  <c r="V42" i="14"/>
  <c r="O56" i="14"/>
  <c r="W42" i="14"/>
  <c r="Z55" i="14"/>
  <c r="Z57" i="14"/>
  <c r="D58" i="14"/>
  <c r="D55" i="14"/>
  <c r="E42" i="14"/>
  <c r="D42" i="14"/>
  <c r="C60" i="14"/>
  <c r="C42" i="14"/>
  <c r="C56" i="14"/>
  <c r="CS44" i="15" a="1"/>
  <c r="CS44" i="15" s="1"/>
  <c r="BB44" i="15"/>
  <c r="BC44" i="15" s="1"/>
  <c r="Y55" i="14"/>
  <c r="Y57" i="14"/>
  <c r="CS16" i="15" a="1"/>
  <c r="CS16" i="15" s="1"/>
  <c r="BB16" i="15"/>
  <c r="BC16" i="15" s="1"/>
  <c r="H55" i="14"/>
  <c r="R42" i="14"/>
  <c r="N42" i="14"/>
  <c r="H57" i="14"/>
  <c r="M42" i="14"/>
  <c r="P42" i="14"/>
  <c r="Q42" i="14"/>
  <c r="S42" i="14"/>
  <c r="O42" i="14"/>
  <c r="E56" i="14"/>
  <c r="E55" i="14"/>
  <c r="K59" i="14"/>
  <c r="K57" i="14"/>
  <c r="CS40" i="15" a="1"/>
  <c r="CS40" i="15" s="1"/>
  <c r="BB40" i="15"/>
  <c r="BC40" i="15" s="1"/>
  <c r="I58" i="14"/>
  <c r="I57" i="14"/>
  <c r="F42" i="14"/>
  <c r="G42" i="14"/>
  <c r="T56" i="14"/>
  <c r="P55" i="14"/>
  <c r="P56" i="14"/>
  <c r="L42" i="14"/>
  <c r="AB56" i="14"/>
  <c r="K42" i="14"/>
  <c r="CZ113" i="15"/>
  <c r="CZ105" i="15"/>
  <c r="X56" i="14"/>
  <c r="X57" i="14"/>
  <c r="AD56" i="14"/>
  <c r="AD42" i="14"/>
  <c r="AD55" i="14"/>
  <c r="AE42" i="14"/>
  <c r="F60" i="14"/>
  <c r="AJ42" i="14"/>
  <c r="AF55" i="14"/>
  <c r="AF59" i="14"/>
  <c r="H42" i="14"/>
  <c r="BB52" i="15"/>
  <c r="BC52" i="15" s="1"/>
  <c r="N267" i="1"/>
  <c r="N259" i="1"/>
  <c r="N255" i="1"/>
  <c r="N252" i="1"/>
  <c r="N272" i="1"/>
  <c r="N264" i="1"/>
  <c r="N254" i="1"/>
  <c r="N250" i="1"/>
  <c r="N251" i="1"/>
  <c r="N257" i="1"/>
  <c r="N258" i="1"/>
  <c r="N269" i="1"/>
  <c r="N245" i="1"/>
  <c r="N284" i="1"/>
  <c r="N273" i="1"/>
  <c r="N265" i="1"/>
  <c r="N266" i="1"/>
  <c r="N279" i="1"/>
  <c r="N277" i="1"/>
  <c r="N271" i="1"/>
  <c r="N263" i="1"/>
  <c r="N249" i="1"/>
  <c r="H259" i="1"/>
  <c r="C260" i="1"/>
  <c r="D260" i="1" s="1"/>
  <c r="T260" i="1" s="1"/>
  <c r="G260" i="1"/>
  <c r="S260" i="1" s="1"/>
  <c r="X260" i="1" s="1"/>
  <c r="H261" i="1"/>
  <c r="C262" i="1"/>
  <c r="D262" i="1" s="1"/>
  <c r="T262" i="1" s="1"/>
  <c r="G262" i="1"/>
  <c r="S262" i="1" s="1"/>
  <c r="X262" i="1" s="1"/>
  <c r="H263" i="1"/>
  <c r="C264" i="1"/>
  <c r="G264" i="1"/>
  <c r="S264" i="1" s="1"/>
  <c r="X264" i="1" s="1"/>
  <c r="H265" i="1"/>
  <c r="C266" i="1"/>
  <c r="G266" i="1"/>
  <c r="S266" i="1" s="1"/>
  <c r="X266" i="1" s="1"/>
  <c r="H267" i="1"/>
  <c r="G269" i="1"/>
  <c r="S269" i="1" s="1"/>
  <c r="X269" i="1" s="1"/>
  <c r="G271" i="1"/>
  <c r="S271" i="1" s="1"/>
  <c r="X271" i="1" s="1"/>
  <c r="L272" i="1"/>
  <c r="L274" i="1"/>
  <c r="L275" i="1"/>
  <c r="H276" i="1"/>
  <c r="C277" i="1"/>
  <c r="L277" i="1"/>
  <c r="H278" i="1"/>
  <c r="C279" i="1"/>
  <c r="F279" i="1" s="1"/>
  <c r="U279" i="1" s="1"/>
  <c r="W279" i="1" s="1"/>
  <c r="C280" i="1"/>
  <c r="G280" i="1"/>
  <c r="S280" i="1" s="1"/>
  <c r="X280" i="1" s="1"/>
  <c r="D281" i="1"/>
  <c r="T281" i="1" s="1"/>
  <c r="H281" i="1"/>
  <c r="F284" i="1"/>
  <c r="U284" i="1" s="1"/>
  <c r="W284" i="1" s="1"/>
  <c r="M284" i="1"/>
  <c r="C245" i="1"/>
  <c r="F245" i="1" s="1"/>
  <c r="U245" i="1" s="1"/>
  <c r="W245" i="1" s="1"/>
  <c r="H245" i="1"/>
  <c r="C246" i="1"/>
  <c r="F246" i="1" s="1"/>
  <c r="U246" i="1" s="1"/>
  <c r="W246" i="1" s="1"/>
  <c r="H246" i="1"/>
  <c r="C247" i="1"/>
  <c r="D247" i="1" s="1"/>
  <c r="T247" i="1" s="1"/>
  <c r="L247" i="1"/>
  <c r="L248" i="1"/>
  <c r="H249" i="1"/>
  <c r="C250" i="1"/>
  <c r="F250" i="1" s="1"/>
  <c r="U250" i="1" s="1"/>
  <c r="W250" i="1" s="1"/>
  <c r="H250" i="1"/>
  <c r="C251" i="1"/>
  <c r="D251" i="1" s="1"/>
  <c r="T251" i="1" s="1"/>
  <c r="L251" i="1"/>
  <c r="L252" i="1"/>
  <c r="H253" i="1"/>
  <c r="G254" i="1"/>
  <c r="S254" i="1" s="1"/>
  <c r="X254" i="1" s="1"/>
  <c r="H255" i="1"/>
  <c r="C256" i="1"/>
  <c r="D256" i="1" s="1"/>
  <c r="T256" i="1" s="1"/>
  <c r="H256" i="1"/>
  <c r="C257" i="1"/>
  <c r="D257" i="1" s="1"/>
  <c r="T257" i="1" s="1"/>
  <c r="G257" i="1"/>
  <c r="S257" i="1" s="1"/>
  <c r="X257" i="1" s="1"/>
  <c r="C259" i="1"/>
  <c r="F259" i="1" s="1"/>
  <c r="U259" i="1" s="1"/>
  <c r="W259" i="1" s="1"/>
  <c r="L259" i="1"/>
  <c r="H260" i="1"/>
  <c r="C261" i="1"/>
  <c r="D261" i="1" s="1"/>
  <c r="T261" i="1" s="1"/>
  <c r="L261" i="1"/>
  <c r="H262" i="1"/>
  <c r="C263" i="1"/>
  <c r="F263" i="1" s="1"/>
  <c r="U263" i="1" s="1"/>
  <c r="W263" i="1" s="1"/>
  <c r="L263" i="1"/>
  <c r="D264" i="1"/>
  <c r="T264" i="1" s="1"/>
  <c r="H264" i="1"/>
  <c r="C265" i="1"/>
  <c r="D265" i="1" s="1"/>
  <c r="T265" i="1" s="1"/>
  <c r="L265" i="1"/>
  <c r="D266" i="1"/>
  <c r="T266" i="1" s="1"/>
  <c r="H266" i="1"/>
  <c r="C267" i="1"/>
  <c r="F267" i="1" s="1"/>
  <c r="U267" i="1" s="1"/>
  <c r="W267" i="1" s="1"/>
  <c r="C268" i="1"/>
  <c r="D268" i="1" s="1"/>
  <c r="T268" i="1" s="1"/>
  <c r="G268" i="1"/>
  <c r="S268" i="1" s="1"/>
  <c r="X268" i="1" s="1"/>
  <c r="H269" i="1"/>
  <c r="C270" i="1"/>
  <c r="F270" i="1" s="1"/>
  <c r="U270" i="1" s="1"/>
  <c r="W270" i="1" s="1"/>
  <c r="G270" i="1"/>
  <c r="S270" i="1" s="1"/>
  <c r="X270" i="1" s="1"/>
  <c r="H271" i="1"/>
  <c r="G273" i="1"/>
  <c r="S273" i="1" s="1"/>
  <c r="X273" i="1" s="1"/>
  <c r="G275" i="1"/>
  <c r="S275" i="1" s="1"/>
  <c r="X275" i="1" s="1"/>
  <c r="L276" i="1"/>
  <c r="L278" i="1"/>
  <c r="L279" i="1"/>
  <c r="D280" i="1"/>
  <c r="T280" i="1" s="1"/>
  <c r="H280" i="1"/>
  <c r="F282" i="1"/>
  <c r="U282" i="1" s="1"/>
  <c r="W282" i="1" s="1"/>
  <c r="L282" i="1"/>
  <c r="O282" i="1" s="1"/>
  <c r="F283" i="1"/>
  <c r="U283" i="1" s="1"/>
  <c r="W283" i="1" s="1"/>
  <c r="L283" i="1"/>
  <c r="O283" i="1" s="1"/>
  <c r="C284" i="1"/>
  <c r="G284" i="1"/>
  <c r="S284" i="1" s="1"/>
  <c r="X284" i="1" s="1"/>
  <c r="L245" i="1"/>
  <c r="L246" i="1"/>
  <c r="L249" i="1"/>
  <c r="L250" i="1"/>
  <c r="C254" i="1"/>
  <c r="F254" i="1" s="1"/>
  <c r="U254" i="1" s="1"/>
  <c r="W254" i="1" s="1"/>
  <c r="H254" i="1"/>
  <c r="C255" i="1"/>
  <c r="D255" i="1" s="1"/>
  <c r="T255" i="1" s="1"/>
  <c r="L255" i="1"/>
  <c r="L256" i="1"/>
  <c r="H257" i="1"/>
  <c r="G258" i="1"/>
  <c r="S258" i="1" s="1"/>
  <c r="X258" i="1" s="1"/>
  <c r="C269" i="1"/>
  <c r="C271" i="1"/>
  <c r="F271" i="1" s="1"/>
  <c r="U271" i="1" s="1"/>
  <c r="W271" i="1" s="1"/>
  <c r="C272" i="1"/>
  <c r="F272" i="1" s="1"/>
  <c r="U272" i="1" s="1"/>
  <c r="W272" i="1" s="1"/>
  <c r="C274" i="1"/>
  <c r="D274" i="1" s="1"/>
  <c r="T274" i="1" s="1"/>
  <c r="L280" i="1"/>
  <c r="O280" i="1" s="1"/>
  <c r="F281" i="1"/>
  <c r="U281" i="1" s="1"/>
  <c r="W281" i="1" s="1"/>
  <c r="C282" i="1"/>
  <c r="M282" i="1"/>
  <c r="G283" i="1"/>
  <c r="S283" i="1" s="1"/>
  <c r="X283" i="1" s="1"/>
  <c r="D284" i="1"/>
  <c r="T284" i="1" s="1"/>
  <c r="L253" i="1"/>
  <c r="L254" i="1"/>
  <c r="H258" i="1"/>
  <c r="C252" i="1"/>
  <c r="D252" i="1" s="1"/>
  <c r="T252" i="1" s="1"/>
  <c r="L257" i="1"/>
  <c r="L258" i="1"/>
  <c r="L271" i="1"/>
  <c r="L273" i="1"/>
  <c r="G278" i="1"/>
  <c r="S278" i="1" s="1"/>
  <c r="X278" i="1" s="1"/>
  <c r="C281" i="1"/>
  <c r="H282" i="1"/>
  <c r="I282" i="1" s="1"/>
  <c r="L284" i="1"/>
  <c r="O284" i="1" s="1"/>
  <c r="G246" i="1"/>
  <c r="S246" i="1" s="1"/>
  <c r="X246" i="1" s="1"/>
  <c r="G249" i="1"/>
  <c r="S249" i="1" s="1"/>
  <c r="X249" i="1" s="1"/>
  <c r="H251" i="1"/>
  <c r="G253" i="1"/>
  <c r="S253" i="1" s="1"/>
  <c r="X253" i="1" s="1"/>
  <c r="G256" i="1"/>
  <c r="S256" i="1" s="1"/>
  <c r="X256" i="1" s="1"/>
  <c r="G259" i="1"/>
  <c r="S259" i="1" s="1"/>
  <c r="X259" i="1" s="1"/>
  <c r="G261" i="1"/>
  <c r="S261" i="1" s="1"/>
  <c r="X261" i="1" s="1"/>
  <c r="F262" i="1"/>
  <c r="U262" i="1" s="1"/>
  <c r="W262" i="1" s="1"/>
  <c r="G263" i="1"/>
  <c r="S263" i="1" s="1"/>
  <c r="X263" i="1" s="1"/>
  <c r="F264" i="1"/>
  <c r="U264" i="1" s="1"/>
  <c r="W264" i="1" s="1"/>
  <c r="G265" i="1"/>
  <c r="S265" i="1" s="1"/>
  <c r="X265" i="1" s="1"/>
  <c r="F266" i="1"/>
  <c r="U266" i="1" s="1"/>
  <c r="W266" i="1" s="1"/>
  <c r="G267" i="1"/>
  <c r="S267" i="1" s="1"/>
  <c r="X267" i="1" s="1"/>
  <c r="C273" i="1"/>
  <c r="F273" i="1" s="1"/>
  <c r="U273" i="1" s="1"/>
  <c r="W273" i="1" s="1"/>
  <c r="C275" i="1"/>
  <c r="F275" i="1" s="1"/>
  <c r="U275" i="1" s="1"/>
  <c r="W275" i="1" s="1"/>
  <c r="C276" i="1"/>
  <c r="D276" i="1" s="1"/>
  <c r="T276" i="1" s="1"/>
  <c r="C278" i="1"/>
  <c r="F278" i="1" s="1"/>
  <c r="U278" i="1" s="1"/>
  <c r="W278" i="1" s="1"/>
  <c r="M280" i="1"/>
  <c r="G281" i="1"/>
  <c r="S281" i="1" s="1"/>
  <c r="X281" i="1" s="1"/>
  <c r="D282" i="1"/>
  <c r="T282" i="1" s="1"/>
  <c r="H283" i="1"/>
  <c r="C248" i="1"/>
  <c r="D248" i="1" s="1"/>
  <c r="T248" i="1" s="1"/>
  <c r="C249" i="1"/>
  <c r="D249" i="1" s="1"/>
  <c r="T249" i="1" s="1"/>
  <c r="C253" i="1"/>
  <c r="D253" i="1" s="1"/>
  <c r="T253" i="1" s="1"/>
  <c r="H248" i="1"/>
  <c r="L260" i="1"/>
  <c r="L262" i="1"/>
  <c r="L264" i="1"/>
  <c r="L266" i="1"/>
  <c r="L267" i="1"/>
  <c r="H268" i="1"/>
  <c r="L269" i="1"/>
  <c r="H270" i="1"/>
  <c r="G272" i="1"/>
  <c r="S272" i="1" s="1"/>
  <c r="X272" i="1" s="1"/>
  <c r="H273" i="1"/>
  <c r="G274" i="1"/>
  <c r="S274" i="1" s="1"/>
  <c r="X274" i="1" s="1"/>
  <c r="H275" i="1"/>
  <c r="F276" i="1"/>
  <c r="U276" i="1" s="1"/>
  <c r="W276" i="1" s="1"/>
  <c r="G277" i="1"/>
  <c r="S277" i="1" s="1"/>
  <c r="X277" i="1" s="1"/>
  <c r="G279" i="1"/>
  <c r="S279" i="1" s="1"/>
  <c r="X279" i="1" s="1"/>
  <c r="L281" i="1"/>
  <c r="O281" i="1" s="1"/>
  <c r="G282" i="1"/>
  <c r="S282" i="1" s="1"/>
  <c r="X282" i="1" s="1"/>
  <c r="C283" i="1"/>
  <c r="M283" i="1"/>
  <c r="H284" i="1"/>
  <c r="G247" i="1"/>
  <c r="S247" i="1" s="1"/>
  <c r="X247" i="1" s="1"/>
  <c r="G248" i="1"/>
  <c r="S248" i="1" s="1"/>
  <c r="X248" i="1" s="1"/>
  <c r="G251" i="1"/>
  <c r="S251" i="1" s="1"/>
  <c r="X251" i="1" s="1"/>
  <c r="G252" i="1"/>
  <c r="S252" i="1" s="1"/>
  <c r="X252" i="1" s="1"/>
  <c r="D254" i="1"/>
  <c r="T254" i="1" s="1"/>
  <c r="C258" i="1"/>
  <c r="F258" i="1" s="1"/>
  <c r="U258" i="1" s="1"/>
  <c r="W258" i="1" s="1"/>
  <c r="L268" i="1"/>
  <c r="L270" i="1"/>
  <c r="H272" i="1"/>
  <c r="H274" i="1"/>
  <c r="G276" i="1"/>
  <c r="S276" i="1" s="1"/>
  <c r="X276" i="1" s="1"/>
  <c r="H277" i="1"/>
  <c r="H279" i="1"/>
  <c r="F280" i="1"/>
  <c r="U280" i="1" s="1"/>
  <c r="W280" i="1" s="1"/>
  <c r="M281" i="1"/>
  <c r="D283" i="1"/>
  <c r="T283" i="1" s="1"/>
  <c r="G245" i="1"/>
  <c r="S245" i="1" s="1"/>
  <c r="X245" i="1" s="1"/>
  <c r="H247" i="1"/>
  <c r="G250" i="1"/>
  <c r="S250" i="1" s="1"/>
  <c r="X250" i="1" s="1"/>
  <c r="H252" i="1"/>
  <c r="G255" i="1"/>
  <c r="S255" i="1" s="1"/>
  <c r="X255" i="1" s="1"/>
  <c r="D258" i="1"/>
  <c r="T258" i="1" s="1"/>
  <c r="D273" i="1"/>
  <c r="T273" i="1" s="1"/>
  <c r="D267" i="1"/>
  <c r="T267" i="1" s="1"/>
  <c r="D259" i="1"/>
  <c r="T259" i="1" s="1"/>
  <c r="F247" i="1"/>
  <c r="U247" i="1" s="1"/>
  <c r="W247" i="1" s="1"/>
  <c r="D277" i="1"/>
  <c r="T277" i="1" s="1"/>
  <c r="D279" i="1"/>
  <c r="T279" i="1" s="1"/>
  <c r="F251" i="1"/>
  <c r="U251" i="1" s="1"/>
  <c r="W251" i="1" s="1"/>
  <c r="D269" i="1"/>
  <c r="T269" i="1" s="1"/>
  <c r="F277" i="1"/>
  <c r="U277" i="1" s="1"/>
  <c r="W277" i="1" s="1"/>
  <c r="D275" i="1"/>
  <c r="T275" i="1" s="1"/>
  <c r="F269" i="1"/>
  <c r="U269" i="1" s="1"/>
  <c r="W269" i="1" s="1"/>
  <c r="N262" i="1"/>
  <c r="N282" i="1"/>
  <c r="N253" i="1"/>
  <c r="N278" i="1"/>
  <c r="N248" i="1"/>
  <c r="N275" i="1"/>
  <c r="N270" i="1"/>
  <c r="N260" i="1"/>
  <c r="N261" i="1"/>
  <c r="N283" i="1"/>
  <c r="N256" i="1"/>
  <c r="N246" i="1"/>
  <c r="N276" i="1"/>
  <c r="N247" i="1"/>
  <c r="N274" i="1"/>
  <c r="N280" i="1"/>
  <c r="N268" i="1"/>
  <c r="N244" i="1"/>
  <c r="N239" i="1"/>
  <c r="N235" i="1"/>
  <c r="N231" i="1"/>
  <c r="N227" i="1"/>
  <c r="N223" i="1"/>
  <c r="N219" i="1"/>
  <c r="N215" i="1"/>
  <c r="N211" i="1"/>
  <c r="N207" i="1"/>
  <c r="N203" i="1"/>
  <c r="N199" i="1"/>
  <c r="N195" i="1"/>
  <c r="N191" i="1"/>
  <c r="N187" i="1"/>
  <c r="N183" i="1"/>
  <c r="N179" i="1"/>
  <c r="N175" i="1"/>
  <c r="N171" i="1"/>
  <c r="N167" i="1"/>
  <c r="N163" i="1"/>
  <c r="N159" i="1"/>
  <c r="N155" i="1"/>
  <c r="N151" i="1"/>
  <c r="N147" i="1"/>
  <c r="N143" i="1"/>
  <c r="N139" i="1"/>
  <c r="N135" i="1"/>
  <c r="N131" i="1"/>
  <c r="N127" i="1"/>
  <c r="N123" i="1"/>
  <c r="N119" i="1"/>
  <c r="N115" i="1"/>
  <c r="N111" i="1"/>
  <c r="N107" i="1"/>
  <c r="N103" i="1"/>
  <c r="N99" i="1"/>
  <c r="N95" i="1"/>
  <c r="N91" i="1"/>
  <c r="N87" i="1"/>
  <c r="N83" i="1"/>
  <c r="N79" i="1"/>
  <c r="N75" i="1"/>
  <c r="N71" i="1"/>
  <c r="N67" i="1"/>
  <c r="N63" i="1"/>
  <c r="N59" i="1"/>
  <c r="N55" i="1"/>
  <c r="N51" i="1"/>
  <c r="N47" i="1"/>
  <c r="N43" i="1"/>
  <c r="N39" i="1"/>
  <c r="N35" i="1"/>
  <c r="N31" i="1"/>
  <c r="N27" i="1"/>
  <c r="N23" i="1"/>
  <c r="N19" i="1"/>
  <c r="N15" i="1"/>
  <c r="N11" i="1"/>
  <c r="N7" i="1"/>
  <c r="N242" i="1"/>
  <c r="N243" i="1"/>
  <c r="N238" i="1"/>
  <c r="N234" i="1"/>
  <c r="N230" i="1"/>
  <c r="N226" i="1"/>
  <c r="N222" i="1"/>
  <c r="N218" i="1"/>
  <c r="N214" i="1"/>
  <c r="N210" i="1"/>
  <c r="N206" i="1"/>
  <c r="N202" i="1"/>
  <c r="N198" i="1"/>
  <c r="N194" i="1"/>
  <c r="N190" i="1"/>
  <c r="N186" i="1"/>
  <c r="N182" i="1"/>
  <c r="N178" i="1"/>
  <c r="N174" i="1"/>
  <c r="N170" i="1"/>
  <c r="N166" i="1"/>
  <c r="N162" i="1"/>
  <c r="N158" i="1"/>
  <c r="N154" i="1"/>
  <c r="N150" i="1"/>
  <c r="N146" i="1"/>
  <c r="N142" i="1"/>
  <c r="N138" i="1"/>
  <c r="N134" i="1"/>
  <c r="N130" i="1"/>
  <c r="N126" i="1"/>
  <c r="N122" i="1"/>
  <c r="N118" i="1"/>
  <c r="N114" i="1"/>
  <c r="N110" i="1"/>
  <c r="N106" i="1"/>
  <c r="N102" i="1"/>
  <c r="N98" i="1"/>
  <c r="N94" i="1"/>
  <c r="N90" i="1"/>
  <c r="N86" i="1"/>
  <c r="N82" i="1"/>
  <c r="N78" i="1"/>
  <c r="N74" i="1"/>
  <c r="N70" i="1"/>
  <c r="N66" i="1"/>
  <c r="N62" i="1"/>
  <c r="N58" i="1"/>
  <c r="N54" i="1"/>
  <c r="N50" i="1"/>
  <c r="N46" i="1"/>
  <c r="N42" i="1"/>
  <c r="N38" i="1"/>
  <c r="N34" i="1"/>
  <c r="N30" i="1"/>
  <c r="N26" i="1"/>
  <c r="N22" i="1"/>
  <c r="N18" i="1"/>
  <c r="N14" i="1"/>
  <c r="N10" i="1"/>
  <c r="N6" i="1"/>
  <c r="N241" i="1"/>
  <c r="N237" i="1"/>
  <c r="N233" i="1"/>
  <c r="N229" i="1"/>
  <c r="N225" i="1"/>
  <c r="N221" i="1"/>
  <c r="N217" i="1"/>
  <c r="N213" i="1"/>
  <c r="N209" i="1"/>
  <c r="N205" i="1"/>
  <c r="N201" i="1"/>
  <c r="N197" i="1"/>
  <c r="N193" i="1"/>
  <c r="N189" i="1"/>
  <c r="N185" i="1"/>
  <c r="N181" i="1"/>
  <c r="N177" i="1"/>
  <c r="N173" i="1"/>
  <c r="N169" i="1"/>
  <c r="N165" i="1"/>
  <c r="N161" i="1"/>
  <c r="N157" i="1"/>
  <c r="N153" i="1"/>
  <c r="N149" i="1"/>
  <c r="N145" i="1"/>
  <c r="N141" i="1"/>
  <c r="N137" i="1"/>
  <c r="N133" i="1"/>
  <c r="N129" i="1"/>
  <c r="N125" i="1"/>
  <c r="N121" i="1"/>
  <c r="N117" i="1"/>
  <c r="N113" i="1"/>
  <c r="N109" i="1"/>
  <c r="N105" i="1"/>
  <c r="N101" i="1"/>
  <c r="N97" i="1"/>
  <c r="N93" i="1"/>
  <c r="N89" i="1"/>
  <c r="N85" i="1"/>
  <c r="N81" i="1"/>
  <c r="N77" i="1"/>
  <c r="N73" i="1"/>
  <c r="N69" i="1"/>
  <c r="N65" i="1"/>
  <c r="N61" i="1"/>
  <c r="N57" i="1"/>
  <c r="N53" i="1"/>
  <c r="N49" i="1"/>
  <c r="N45" i="1"/>
  <c r="N41" i="1"/>
  <c r="N37" i="1"/>
  <c r="N33" i="1"/>
  <c r="N29" i="1"/>
  <c r="N25" i="1"/>
  <c r="N21" i="1"/>
  <c r="N17" i="1"/>
  <c r="N13" i="1"/>
  <c r="N9" i="1"/>
  <c r="N5" i="1"/>
  <c r="N240" i="1"/>
  <c r="N236" i="1"/>
  <c r="N232" i="1"/>
  <c r="N228" i="1"/>
  <c r="N224" i="1"/>
  <c r="N220" i="1"/>
  <c r="N216" i="1"/>
  <c r="N212" i="1"/>
  <c r="N208" i="1"/>
  <c r="N204" i="1"/>
  <c r="N200" i="1"/>
  <c r="N196" i="1"/>
  <c r="N192" i="1"/>
  <c r="N188" i="1"/>
  <c r="N184" i="1"/>
  <c r="N180" i="1"/>
  <c r="N176" i="1"/>
  <c r="N172" i="1"/>
  <c r="N168" i="1"/>
  <c r="N164" i="1"/>
  <c r="N160" i="1"/>
  <c r="N156" i="1"/>
  <c r="N152" i="1"/>
  <c r="N148" i="1"/>
  <c r="N144" i="1"/>
  <c r="N140" i="1"/>
  <c r="N136" i="1"/>
  <c r="N132" i="1"/>
  <c r="N128" i="1"/>
  <c r="N124" i="1"/>
  <c r="N120" i="1"/>
  <c r="N116" i="1"/>
  <c r="N112" i="1"/>
  <c r="N108" i="1"/>
  <c r="N104" i="1"/>
  <c r="N100" i="1"/>
  <c r="N96" i="1"/>
  <c r="N92" i="1"/>
  <c r="N88" i="1"/>
  <c r="N84" i="1"/>
  <c r="N80" i="1"/>
  <c r="N76" i="1"/>
  <c r="N72" i="1"/>
  <c r="N68" i="1"/>
  <c r="N64" i="1"/>
  <c r="N60" i="1"/>
  <c r="N56" i="1"/>
  <c r="N52" i="1"/>
  <c r="N48" i="1"/>
  <c r="N44" i="1"/>
  <c r="N40" i="1"/>
  <c r="N36" i="1"/>
  <c r="N32" i="1"/>
  <c r="N28" i="1"/>
  <c r="N24" i="1"/>
  <c r="N20" i="1"/>
  <c r="N16" i="1"/>
  <c r="N12" i="1"/>
  <c r="N8" i="1"/>
  <c r="N4" i="1"/>
  <c r="H8" i="1"/>
  <c r="H12" i="1"/>
  <c r="H16" i="1"/>
  <c r="H20" i="1"/>
  <c r="H24" i="1"/>
  <c r="H28" i="1"/>
  <c r="H32" i="1"/>
  <c r="H36" i="1"/>
  <c r="H40" i="1"/>
  <c r="H44" i="1"/>
  <c r="H48" i="1"/>
  <c r="H52" i="1"/>
  <c r="H56" i="1"/>
  <c r="H60" i="1"/>
  <c r="H64" i="1"/>
  <c r="H68" i="1"/>
  <c r="H72" i="1"/>
  <c r="H76" i="1"/>
  <c r="H80" i="1"/>
  <c r="H84" i="1"/>
  <c r="H88" i="1"/>
  <c r="H92" i="1"/>
  <c r="H96" i="1"/>
  <c r="H100" i="1"/>
  <c r="H5" i="1"/>
  <c r="H9" i="1"/>
  <c r="H13" i="1"/>
  <c r="H17" i="1"/>
  <c r="H21" i="1"/>
  <c r="H25" i="1"/>
  <c r="H29" i="1"/>
  <c r="H33" i="1"/>
  <c r="H37" i="1"/>
  <c r="H41" i="1"/>
  <c r="H45" i="1"/>
  <c r="H49" i="1"/>
  <c r="H53" i="1"/>
  <c r="H57" i="1"/>
  <c r="H61" i="1"/>
  <c r="H65" i="1"/>
  <c r="H69" i="1"/>
  <c r="H73" i="1"/>
  <c r="H77" i="1"/>
  <c r="H81" i="1"/>
  <c r="H85" i="1"/>
  <c r="H89" i="1"/>
  <c r="H93" i="1"/>
  <c r="H97" i="1"/>
  <c r="H101" i="1"/>
  <c r="H6" i="1"/>
  <c r="H10" i="1"/>
  <c r="H14" i="1"/>
  <c r="H18" i="1"/>
  <c r="H22" i="1"/>
  <c r="H26" i="1"/>
  <c r="H30" i="1"/>
  <c r="H34" i="1"/>
  <c r="H38" i="1"/>
  <c r="H42" i="1"/>
  <c r="H46" i="1"/>
  <c r="H50" i="1"/>
  <c r="H54" i="1"/>
  <c r="H58" i="1"/>
  <c r="H62" i="1"/>
  <c r="H66" i="1"/>
  <c r="H70" i="1"/>
  <c r="H74" i="1"/>
  <c r="H78" i="1"/>
  <c r="H82" i="1"/>
  <c r="H86" i="1"/>
  <c r="H90" i="1"/>
  <c r="H94" i="1"/>
  <c r="H98" i="1"/>
  <c r="H102"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5" i="1"/>
  <c r="H139" i="1"/>
  <c r="H143" i="1"/>
  <c r="H147" i="1"/>
  <c r="H151" i="1"/>
  <c r="H155" i="1"/>
  <c r="H159" i="1"/>
  <c r="H163" i="1"/>
  <c r="H167" i="1"/>
  <c r="H171" i="1"/>
  <c r="H175" i="1"/>
  <c r="H179" i="1"/>
  <c r="H183" i="1"/>
  <c r="H187" i="1"/>
  <c r="H191" i="1"/>
  <c r="H195" i="1"/>
  <c r="H199" i="1"/>
  <c r="H203" i="1"/>
  <c r="H207" i="1"/>
  <c r="H211" i="1"/>
  <c r="H215" i="1"/>
  <c r="H219" i="1"/>
  <c r="H223" i="1"/>
  <c r="H227" i="1"/>
  <c r="H231" i="1"/>
  <c r="H235" i="1"/>
  <c r="H239" i="1"/>
  <c r="H243" i="1"/>
  <c r="H104" i="1"/>
  <c r="H108" i="1"/>
  <c r="H112" i="1"/>
  <c r="H116" i="1"/>
  <c r="H120" i="1"/>
  <c r="H124" i="1"/>
  <c r="H128" i="1"/>
  <c r="H132" i="1"/>
  <c r="H136" i="1"/>
  <c r="H140" i="1"/>
  <c r="H144" i="1"/>
  <c r="H148" i="1"/>
  <c r="H152" i="1"/>
  <c r="H156" i="1"/>
  <c r="H160" i="1"/>
  <c r="H164" i="1"/>
  <c r="H168" i="1"/>
  <c r="H172" i="1"/>
  <c r="H176" i="1"/>
  <c r="H180" i="1"/>
  <c r="H184" i="1"/>
  <c r="H188" i="1"/>
  <c r="H192" i="1"/>
  <c r="H196" i="1"/>
  <c r="H200" i="1"/>
  <c r="H204" i="1"/>
  <c r="H208" i="1"/>
  <c r="H212" i="1"/>
  <c r="H216" i="1"/>
  <c r="H220" i="1"/>
  <c r="H224" i="1"/>
  <c r="H228" i="1"/>
  <c r="H232" i="1"/>
  <c r="H236" i="1"/>
  <c r="H240" i="1"/>
  <c r="H244"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4"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G5" i="1"/>
  <c r="S5" i="1" s="1"/>
  <c r="X5" i="1" s="1"/>
  <c r="G9" i="1"/>
  <c r="S9" i="1" s="1"/>
  <c r="X9" i="1" s="1"/>
  <c r="G13" i="1"/>
  <c r="S13" i="1" s="1"/>
  <c r="X13" i="1" s="1"/>
  <c r="G17" i="1"/>
  <c r="S17" i="1" s="1"/>
  <c r="X17" i="1" s="1"/>
  <c r="G21" i="1"/>
  <c r="S21" i="1" s="1"/>
  <c r="X21" i="1" s="1"/>
  <c r="G25" i="1"/>
  <c r="S25" i="1" s="1"/>
  <c r="X25" i="1" s="1"/>
  <c r="G29" i="1"/>
  <c r="S29" i="1" s="1"/>
  <c r="X29" i="1" s="1"/>
  <c r="G33" i="1"/>
  <c r="S33" i="1" s="1"/>
  <c r="X33" i="1" s="1"/>
  <c r="G37" i="1"/>
  <c r="S37" i="1" s="1"/>
  <c r="X37" i="1" s="1"/>
  <c r="G41" i="1"/>
  <c r="S41" i="1" s="1"/>
  <c r="X41" i="1" s="1"/>
  <c r="G45" i="1"/>
  <c r="S45" i="1" s="1"/>
  <c r="X45" i="1" s="1"/>
  <c r="G49" i="1"/>
  <c r="S49" i="1" s="1"/>
  <c r="X49" i="1" s="1"/>
  <c r="G53" i="1"/>
  <c r="S53" i="1" s="1"/>
  <c r="X53" i="1" s="1"/>
  <c r="G57" i="1"/>
  <c r="S57" i="1" s="1"/>
  <c r="X57" i="1" s="1"/>
  <c r="G61" i="1"/>
  <c r="S61" i="1" s="1"/>
  <c r="X61" i="1" s="1"/>
  <c r="G65" i="1"/>
  <c r="S65" i="1" s="1"/>
  <c r="X65" i="1" s="1"/>
  <c r="G69" i="1"/>
  <c r="S69" i="1" s="1"/>
  <c r="X69" i="1" s="1"/>
  <c r="G73" i="1"/>
  <c r="S73" i="1" s="1"/>
  <c r="X73" i="1" s="1"/>
  <c r="G77" i="1"/>
  <c r="S77" i="1" s="1"/>
  <c r="X77" i="1" s="1"/>
  <c r="G81" i="1"/>
  <c r="S81" i="1" s="1"/>
  <c r="X81" i="1" s="1"/>
  <c r="G85" i="1"/>
  <c r="S85" i="1" s="1"/>
  <c r="X85" i="1" s="1"/>
  <c r="G89" i="1"/>
  <c r="S89" i="1" s="1"/>
  <c r="X89" i="1" s="1"/>
  <c r="G93" i="1"/>
  <c r="S93" i="1" s="1"/>
  <c r="X93" i="1" s="1"/>
  <c r="G97" i="1"/>
  <c r="S97" i="1" s="1"/>
  <c r="X97" i="1" s="1"/>
  <c r="G101" i="1"/>
  <c r="S101" i="1" s="1"/>
  <c r="X101" i="1" s="1"/>
  <c r="G105" i="1"/>
  <c r="S105" i="1" s="1"/>
  <c r="X105" i="1" s="1"/>
  <c r="G109" i="1"/>
  <c r="S109" i="1" s="1"/>
  <c r="X109" i="1" s="1"/>
  <c r="G113" i="1"/>
  <c r="S113" i="1" s="1"/>
  <c r="X113" i="1" s="1"/>
  <c r="G117" i="1"/>
  <c r="S117" i="1" s="1"/>
  <c r="X117" i="1" s="1"/>
  <c r="G121" i="1"/>
  <c r="S121" i="1" s="1"/>
  <c r="X121" i="1" s="1"/>
  <c r="G125" i="1"/>
  <c r="S125" i="1" s="1"/>
  <c r="X125" i="1" s="1"/>
  <c r="G129" i="1"/>
  <c r="S129" i="1" s="1"/>
  <c r="X129" i="1" s="1"/>
  <c r="G133" i="1"/>
  <c r="S133" i="1" s="1"/>
  <c r="X133" i="1" s="1"/>
  <c r="G137" i="1"/>
  <c r="S137" i="1" s="1"/>
  <c r="X137" i="1" s="1"/>
  <c r="G141" i="1"/>
  <c r="S141" i="1" s="1"/>
  <c r="X141" i="1" s="1"/>
  <c r="G145" i="1"/>
  <c r="S145" i="1" s="1"/>
  <c r="X145" i="1" s="1"/>
  <c r="G149" i="1"/>
  <c r="S149" i="1" s="1"/>
  <c r="X149" i="1" s="1"/>
  <c r="G153" i="1"/>
  <c r="S153" i="1" s="1"/>
  <c r="X153" i="1" s="1"/>
  <c r="G157" i="1"/>
  <c r="S157" i="1" s="1"/>
  <c r="X157" i="1" s="1"/>
  <c r="G161" i="1"/>
  <c r="S161" i="1" s="1"/>
  <c r="X161" i="1" s="1"/>
  <c r="G165" i="1"/>
  <c r="S165" i="1" s="1"/>
  <c r="X165" i="1" s="1"/>
  <c r="G169" i="1"/>
  <c r="S169" i="1" s="1"/>
  <c r="X169" i="1" s="1"/>
  <c r="G173" i="1"/>
  <c r="S173" i="1" s="1"/>
  <c r="X173" i="1" s="1"/>
  <c r="G177" i="1"/>
  <c r="S177" i="1" s="1"/>
  <c r="X177" i="1" s="1"/>
  <c r="G181" i="1"/>
  <c r="S181" i="1" s="1"/>
  <c r="X181" i="1" s="1"/>
  <c r="G185" i="1"/>
  <c r="S185" i="1" s="1"/>
  <c r="X185" i="1" s="1"/>
  <c r="G189" i="1"/>
  <c r="S189" i="1" s="1"/>
  <c r="X189" i="1" s="1"/>
  <c r="G193" i="1"/>
  <c r="S193" i="1" s="1"/>
  <c r="X193" i="1" s="1"/>
  <c r="G197" i="1"/>
  <c r="S197" i="1" s="1"/>
  <c r="X197" i="1" s="1"/>
  <c r="G201" i="1"/>
  <c r="S201" i="1" s="1"/>
  <c r="X201" i="1" s="1"/>
  <c r="G205" i="1"/>
  <c r="S205" i="1" s="1"/>
  <c r="X205" i="1" s="1"/>
  <c r="G209" i="1"/>
  <c r="S209" i="1" s="1"/>
  <c r="X209" i="1" s="1"/>
  <c r="G213" i="1"/>
  <c r="S213" i="1" s="1"/>
  <c r="X213" i="1" s="1"/>
  <c r="G217" i="1"/>
  <c r="S217" i="1" s="1"/>
  <c r="X217" i="1" s="1"/>
  <c r="G221" i="1"/>
  <c r="S221" i="1" s="1"/>
  <c r="X221" i="1" s="1"/>
  <c r="G225" i="1"/>
  <c r="S225" i="1" s="1"/>
  <c r="X225" i="1" s="1"/>
  <c r="G229" i="1"/>
  <c r="S229" i="1" s="1"/>
  <c r="X229" i="1" s="1"/>
  <c r="G233" i="1"/>
  <c r="S233" i="1" s="1"/>
  <c r="X233" i="1" s="1"/>
  <c r="G237" i="1"/>
  <c r="S237" i="1" s="1"/>
  <c r="X237" i="1" s="1"/>
  <c r="G241" i="1"/>
  <c r="S241" i="1" s="1"/>
  <c r="X241" i="1" s="1"/>
  <c r="G4" i="1"/>
  <c r="S4" i="1" s="1"/>
  <c r="X4" i="1" s="1"/>
  <c r="G6" i="1"/>
  <c r="S6" i="1" s="1"/>
  <c r="X6" i="1" s="1"/>
  <c r="G10" i="1"/>
  <c r="S10" i="1" s="1"/>
  <c r="X10" i="1" s="1"/>
  <c r="G14" i="1"/>
  <c r="S14" i="1" s="1"/>
  <c r="X14" i="1" s="1"/>
  <c r="G18" i="1"/>
  <c r="S18" i="1" s="1"/>
  <c r="X18" i="1" s="1"/>
  <c r="G22" i="1"/>
  <c r="S22" i="1" s="1"/>
  <c r="X22" i="1" s="1"/>
  <c r="G26" i="1"/>
  <c r="S26" i="1" s="1"/>
  <c r="X26" i="1" s="1"/>
  <c r="G30" i="1"/>
  <c r="S30" i="1" s="1"/>
  <c r="X30" i="1" s="1"/>
  <c r="G34" i="1"/>
  <c r="S34" i="1" s="1"/>
  <c r="X34" i="1" s="1"/>
  <c r="G38" i="1"/>
  <c r="S38" i="1" s="1"/>
  <c r="X38" i="1" s="1"/>
  <c r="G42" i="1"/>
  <c r="S42" i="1" s="1"/>
  <c r="X42" i="1" s="1"/>
  <c r="G46" i="1"/>
  <c r="S46" i="1" s="1"/>
  <c r="X46" i="1" s="1"/>
  <c r="G50" i="1"/>
  <c r="S50" i="1" s="1"/>
  <c r="X50" i="1" s="1"/>
  <c r="G54" i="1"/>
  <c r="S54" i="1" s="1"/>
  <c r="X54" i="1" s="1"/>
  <c r="G58" i="1"/>
  <c r="S58" i="1" s="1"/>
  <c r="X58" i="1" s="1"/>
  <c r="G62" i="1"/>
  <c r="S62" i="1" s="1"/>
  <c r="X62" i="1" s="1"/>
  <c r="G66" i="1"/>
  <c r="S66" i="1" s="1"/>
  <c r="X66" i="1" s="1"/>
  <c r="G70" i="1"/>
  <c r="S70" i="1" s="1"/>
  <c r="X70" i="1" s="1"/>
  <c r="G74" i="1"/>
  <c r="S74" i="1" s="1"/>
  <c r="X74" i="1" s="1"/>
  <c r="G78" i="1"/>
  <c r="S78" i="1" s="1"/>
  <c r="X78" i="1" s="1"/>
  <c r="G82" i="1"/>
  <c r="S82" i="1" s="1"/>
  <c r="X82" i="1" s="1"/>
  <c r="G86" i="1"/>
  <c r="S86" i="1" s="1"/>
  <c r="X86" i="1" s="1"/>
  <c r="G90" i="1"/>
  <c r="S90" i="1" s="1"/>
  <c r="X90" i="1" s="1"/>
  <c r="G94" i="1"/>
  <c r="S94" i="1" s="1"/>
  <c r="X94" i="1" s="1"/>
  <c r="G98" i="1"/>
  <c r="S98" i="1" s="1"/>
  <c r="X98" i="1" s="1"/>
  <c r="G102" i="1"/>
  <c r="S102" i="1" s="1"/>
  <c r="X102" i="1" s="1"/>
  <c r="G106" i="1"/>
  <c r="S106" i="1" s="1"/>
  <c r="X106" i="1" s="1"/>
  <c r="G110" i="1"/>
  <c r="S110" i="1" s="1"/>
  <c r="X110" i="1" s="1"/>
  <c r="G114" i="1"/>
  <c r="S114" i="1" s="1"/>
  <c r="X114" i="1" s="1"/>
  <c r="G118" i="1"/>
  <c r="S118" i="1" s="1"/>
  <c r="X118" i="1" s="1"/>
  <c r="G122" i="1"/>
  <c r="S122" i="1" s="1"/>
  <c r="X122" i="1" s="1"/>
  <c r="G126" i="1"/>
  <c r="S126" i="1" s="1"/>
  <c r="X126" i="1" s="1"/>
  <c r="G130" i="1"/>
  <c r="S130" i="1" s="1"/>
  <c r="X130" i="1" s="1"/>
  <c r="G134" i="1"/>
  <c r="S134" i="1" s="1"/>
  <c r="X134" i="1" s="1"/>
  <c r="G138" i="1"/>
  <c r="S138" i="1" s="1"/>
  <c r="X138" i="1" s="1"/>
  <c r="G142" i="1"/>
  <c r="S142" i="1" s="1"/>
  <c r="X142" i="1" s="1"/>
  <c r="G146" i="1"/>
  <c r="S146" i="1" s="1"/>
  <c r="X146" i="1" s="1"/>
  <c r="G150" i="1"/>
  <c r="S150" i="1" s="1"/>
  <c r="X150" i="1" s="1"/>
  <c r="G154" i="1"/>
  <c r="S154" i="1" s="1"/>
  <c r="X154" i="1" s="1"/>
  <c r="G158" i="1"/>
  <c r="S158" i="1" s="1"/>
  <c r="X158" i="1" s="1"/>
  <c r="G162" i="1"/>
  <c r="S162" i="1" s="1"/>
  <c r="X162" i="1" s="1"/>
  <c r="G166" i="1"/>
  <c r="S166" i="1" s="1"/>
  <c r="X166" i="1" s="1"/>
  <c r="G170" i="1"/>
  <c r="S170" i="1" s="1"/>
  <c r="X170" i="1" s="1"/>
  <c r="G174" i="1"/>
  <c r="S174" i="1" s="1"/>
  <c r="X174" i="1" s="1"/>
  <c r="G178" i="1"/>
  <c r="S178" i="1" s="1"/>
  <c r="X178" i="1" s="1"/>
  <c r="G182" i="1"/>
  <c r="S182" i="1" s="1"/>
  <c r="X182" i="1" s="1"/>
  <c r="G186" i="1"/>
  <c r="S186" i="1" s="1"/>
  <c r="X186" i="1" s="1"/>
  <c r="G190" i="1"/>
  <c r="S190" i="1" s="1"/>
  <c r="X190" i="1" s="1"/>
  <c r="G194" i="1"/>
  <c r="S194" i="1" s="1"/>
  <c r="X194" i="1" s="1"/>
  <c r="G198" i="1"/>
  <c r="S198" i="1" s="1"/>
  <c r="X198" i="1" s="1"/>
  <c r="G202" i="1"/>
  <c r="S202" i="1" s="1"/>
  <c r="X202" i="1" s="1"/>
  <c r="G206" i="1"/>
  <c r="S206" i="1" s="1"/>
  <c r="X206" i="1" s="1"/>
  <c r="G210" i="1"/>
  <c r="S210" i="1" s="1"/>
  <c r="X210" i="1" s="1"/>
  <c r="G214" i="1"/>
  <c r="S214" i="1" s="1"/>
  <c r="X214" i="1" s="1"/>
  <c r="G218" i="1"/>
  <c r="S218" i="1" s="1"/>
  <c r="X218" i="1" s="1"/>
  <c r="G222" i="1"/>
  <c r="S222" i="1" s="1"/>
  <c r="X222" i="1" s="1"/>
  <c r="G226" i="1"/>
  <c r="S226" i="1" s="1"/>
  <c r="X226" i="1" s="1"/>
  <c r="G230" i="1"/>
  <c r="S230" i="1" s="1"/>
  <c r="X230" i="1" s="1"/>
  <c r="G234" i="1"/>
  <c r="S234" i="1" s="1"/>
  <c r="X234" i="1" s="1"/>
  <c r="G238" i="1"/>
  <c r="S238" i="1" s="1"/>
  <c r="X238" i="1" s="1"/>
  <c r="G7" i="1"/>
  <c r="S7" i="1" s="1"/>
  <c r="X7" i="1" s="1"/>
  <c r="G11" i="1"/>
  <c r="S11" i="1" s="1"/>
  <c r="X11" i="1" s="1"/>
  <c r="G15" i="1"/>
  <c r="S15" i="1" s="1"/>
  <c r="X15" i="1" s="1"/>
  <c r="G19" i="1"/>
  <c r="S19" i="1" s="1"/>
  <c r="X19" i="1" s="1"/>
  <c r="G23" i="1"/>
  <c r="S23" i="1" s="1"/>
  <c r="X23" i="1" s="1"/>
  <c r="G27" i="1"/>
  <c r="S27" i="1" s="1"/>
  <c r="X27" i="1" s="1"/>
  <c r="G31" i="1"/>
  <c r="S31" i="1" s="1"/>
  <c r="X31" i="1" s="1"/>
  <c r="G35" i="1"/>
  <c r="S35" i="1" s="1"/>
  <c r="X35" i="1" s="1"/>
  <c r="G39" i="1"/>
  <c r="S39" i="1" s="1"/>
  <c r="X39" i="1" s="1"/>
  <c r="G43" i="1"/>
  <c r="S43" i="1" s="1"/>
  <c r="X43" i="1" s="1"/>
  <c r="G47" i="1"/>
  <c r="S47" i="1" s="1"/>
  <c r="X47" i="1" s="1"/>
  <c r="G51" i="1"/>
  <c r="S51" i="1" s="1"/>
  <c r="X51" i="1" s="1"/>
  <c r="G55" i="1"/>
  <c r="S55" i="1" s="1"/>
  <c r="X55" i="1" s="1"/>
  <c r="G59" i="1"/>
  <c r="S59" i="1" s="1"/>
  <c r="X59" i="1" s="1"/>
  <c r="G63" i="1"/>
  <c r="S63" i="1" s="1"/>
  <c r="X63" i="1" s="1"/>
  <c r="G67" i="1"/>
  <c r="S67" i="1" s="1"/>
  <c r="X67" i="1" s="1"/>
  <c r="G71" i="1"/>
  <c r="S71" i="1" s="1"/>
  <c r="X71" i="1" s="1"/>
  <c r="G75" i="1"/>
  <c r="S75" i="1" s="1"/>
  <c r="X75" i="1" s="1"/>
  <c r="G79" i="1"/>
  <c r="S79" i="1" s="1"/>
  <c r="X79" i="1" s="1"/>
  <c r="G83" i="1"/>
  <c r="S83" i="1" s="1"/>
  <c r="X83" i="1" s="1"/>
  <c r="G87" i="1"/>
  <c r="S87" i="1" s="1"/>
  <c r="X87" i="1" s="1"/>
  <c r="G91" i="1"/>
  <c r="S91" i="1" s="1"/>
  <c r="X91" i="1" s="1"/>
  <c r="G95" i="1"/>
  <c r="S95" i="1" s="1"/>
  <c r="X95" i="1" s="1"/>
  <c r="G99" i="1"/>
  <c r="S99" i="1" s="1"/>
  <c r="X99" i="1" s="1"/>
  <c r="G103" i="1"/>
  <c r="S103" i="1" s="1"/>
  <c r="X103" i="1" s="1"/>
  <c r="G107" i="1"/>
  <c r="S107" i="1" s="1"/>
  <c r="X107" i="1" s="1"/>
  <c r="G111" i="1"/>
  <c r="S111" i="1" s="1"/>
  <c r="X111" i="1" s="1"/>
  <c r="G115" i="1"/>
  <c r="S115" i="1" s="1"/>
  <c r="X115" i="1" s="1"/>
  <c r="G119" i="1"/>
  <c r="S119" i="1" s="1"/>
  <c r="X119" i="1" s="1"/>
  <c r="G123" i="1"/>
  <c r="S123" i="1" s="1"/>
  <c r="X123" i="1" s="1"/>
  <c r="G127" i="1"/>
  <c r="S127" i="1" s="1"/>
  <c r="X127" i="1" s="1"/>
  <c r="G131" i="1"/>
  <c r="S131" i="1" s="1"/>
  <c r="X131" i="1" s="1"/>
  <c r="G135" i="1"/>
  <c r="S135" i="1" s="1"/>
  <c r="X135" i="1" s="1"/>
  <c r="G139" i="1"/>
  <c r="S139" i="1" s="1"/>
  <c r="X139" i="1" s="1"/>
  <c r="G143" i="1"/>
  <c r="S143" i="1" s="1"/>
  <c r="X143" i="1" s="1"/>
  <c r="G147" i="1"/>
  <c r="S147" i="1" s="1"/>
  <c r="X147" i="1" s="1"/>
  <c r="G151" i="1"/>
  <c r="S151" i="1" s="1"/>
  <c r="X151" i="1" s="1"/>
  <c r="G155" i="1"/>
  <c r="S155" i="1" s="1"/>
  <c r="X155" i="1" s="1"/>
  <c r="G159" i="1"/>
  <c r="S159" i="1" s="1"/>
  <c r="X159" i="1" s="1"/>
  <c r="G163" i="1"/>
  <c r="S163" i="1" s="1"/>
  <c r="X163" i="1" s="1"/>
  <c r="G167" i="1"/>
  <c r="S167" i="1" s="1"/>
  <c r="X167" i="1" s="1"/>
  <c r="G171" i="1"/>
  <c r="S171" i="1" s="1"/>
  <c r="X171" i="1" s="1"/>
  <c r="G175" i="1"/>
  <c r="S175" i="1" s="1"/>
  <c r="X175" i="1" s="1"/>
  <c r="G179" i="1"/>
  <c r="S179" i="1" s="1"/>
  <c r="X179" i="1" s="1"/>
  <c r="G183" i="1"/>
  <c r="S183" i="1" s="1"/>
  <c r="X183" i="1" s="1"/>
  <c r="G187" i="1"/>
  <c r="S187" i="1" s="1"/>
  <c r="X187" i="1" s="1"/>
  <c r="G191" i="1"/>
  <c r="S191" i="1" s="1"/>
  <c r="X191" i="1" s="1"/>
  <c r="G195" i="1"/>
  <c r="S195" i="1" s="1"/>
  <c r="X195" i="1" s="1"/>
  <c r="G199" i="1"/>
  <c r="S199" i="1" s="1"/>
  <c r="X199" i="1" s="1"/>
  <c r="G203" i="1"/>
  <c r="S203" i="1" s="1"/>
  <c r="X203" i="1" s="1"/>
  <c r="G207" i="1"/>
  <c r="S207" i="1" s="1"/>
  <c r="X207" i="1" s="1"/>
  <c r="G211" i="1"/>
  <c r="S211" i="1" s="1"/>
  <c r="X211" i="1" s="1"/>
  <c r="G215" i="1"/>
  <c r="S215" i="1" s="1"/>
  <c r="X215" i="1" s="1"/>
  <c r="G219" i="1"/>
  <c r="S219" i="1" s="1"/>
  <c r="X219" i="1" s="1"/>
  <c r="G223" i="1"/>
  <c r="S223" i="1" s="1"/>
  <c r="X223" i="1" s="1"/>
  <c r="G227" i="1"/>
  <c r="S227" i="1" s="1"/>
  <c r="X227" i="1" s="1"/>
  <c r="G231" i="1"/>
  <c r="S231" i="1" s="1"/>
  <c r="X231" i="1" s="1"/>
  <c r="G235" i="1"/>
  <c r="S235" i="1" s="1"/>
  <c r="X235" i="1" s="1"/>
  <c r="G239" i="1"/>
  <c r="S239" i="1" s="1"/>
  <c r="X239" i="1" s="1"/>
  <c r="G243" i="1"/>
  <c r="S243" i="1" s="1"/>
  <c r="X243" i="1" s="1"/>
  <c r="G8" i="1"/>
  <c r="S8" i="1" s="1"/>
  <c r="X8" i="1" s="1"/>
  <c r="G12" i="1"/>
  <c r="S12" i="1" s="1"/>
  <c r="X12" i="1" s="1"/>
  <c r="G16" i="1"/>
  <c r="S16" i="1" s="1"/>
  <c r="X16" i="1" s="1"/>
  <c r="G20" i="1"/>
  <c r="S20" i="1" s="1"/>
  <c r="X20" i="1" s="1"/>
  <c r="G24" i="1"/>
  <c r="S24" i="1" s="1"/>
  <c r="X24" i="1" s="1"/>
  <c r="G28" i="1"/>
  <c r="S28" i="1" s="1"/>
  <c r="X28" i="1" s="1"/>
  <c r="G32" i="1"/>
  <c r="S32" i="1" s="1"/>
  <c r="X32" i="1" s="1"/>
  <c r="G36" i="1"/>
  <c r="S36" i="1" s="1"/>
  <c r="X36" i="1" s="1"/>
  <c r="G40" i="1"/>
  <c r="S40" i="1" s="1"/>
  <c r="X40" i="1" s="1"/>
  <c r="G44" i="1"/>
  <c r="S44" i="1" s="1"/>
  <c r="X44" i="1" s="1"/>
  <c r="G48" i="1"/>
  <c r="S48" i="1" s="1"/>
  <c r="X48" i="1" s="1"/>
  <c r="G52" i="1"/>
  <c r="S52" i="1" s="1"/>
  <c r="X52" i="1" s="1"/>
  <c r="G56" i="1"/>
  <c r="S56" i="1" s="1"/>
  <c r="X56" i="1" s="1"/>
  <c r="G60" i="1"/>
  <c r="S60" i="1" s="1"/>
  <c r="X60" i="1" s="1"/>
  <c r="G64" i="1"/>
  <c r="S64" i="1" s="1"/>
  <c r="X64" i="1" s="1"/>
  <c r="G68" i="1"/>
  <c r="S68" i="1" s="1"/>
  <c r="X68" i="1" s="1"/>
  <c r="G72" i="1"/>
  <c r="S72" i="1" s="1"/>
  <c r="X72" i="1" s="1"/>
  <c r="G76" i="1"/>
  <c r="S76" i="1" s="1"/>
  <c r="X76" i="1" s="1"/>
  <c r="G80" i="1"/>
  <c r="S80" i="1" s="1"/>
  <c r="X80" i="1" s="1"/>
  <c r="G84" i="1"/>
  <c r="S84" i="1" s="1"/>
  <c r="X84" i="1" s="1"/>
  <c r="G88" i="1"/>
  <c r="S88" i="1" s="1"/>
  <c r="X88" i="1" s="1"/>
  <c r="G92" i="1"/>
  <c r="S92" i="1" s="1"/>
  <c r="X92" i="1" s="1"/>
  <c r="G96" i="1"/>
  <c r="S96" i="1" s="1"/>
  <c r="X96" i="1" s="1"/>
  <c r="G100" i="1"/>
  <c r="S100" i="1" s="1"/>
  <c r="X100" i="1" s="1"/>
  <c r="G104" i="1"/>
  <c r="S104" i="1" s="1"/>
  <c r="X104" i="1" s="1"/>
  <c r="G108" i="1"/>
  <c r="S108" i="1" s="1"/>
  <c r="X108" i="1" s="1"/>
  <c r="G112" i="1"/>
  <c r="S112" i="1" s="1"/>
  <c r="X112" i="1" s="1"/>
  <c r="G116" i="1"/>
  <c r="S116" i="1" s="1"/>
  <c r="X116" i="1" s="1"/>
  <c r="G120" i="1"/>
  <c r="S120" i="1" s="1"/>
  <c r="X120" i="1" s="1"/>
  <c r="G124" i="1"/>
  <c r="S124" i="1" s="1"/>
  <c r="X124" i="1" s="1"/>
  <c r="G128" i="1"/>
  <c r="S128" i="1" s="1"/>
  <c r="X128" i="1" s="1"/>
  <c r="G132" i="1"/>
  <c r="S132" i="1" s="1"/>
  <c r="X132" i="1" s="1"/>
  <c r="G136" i="1"/>
  <c r="S136" i="1" s="1"/>
  <c r="X136" i="1" s="1"/>
  <c r="G140" i="1"/>
  <c r="S140" i="1" s="1"/>
  <c r="X140" i="1" s="1"/>
  <c r="G144" i="1"/>
  <c r="S144" i="1" s="1"/>
  <c r="X144" i="1" s="1"/>
  <c r="G148" i="1"/>
  <c r="S148" i="1" s="1"/>
  <c r="X148" i="1" s="1"/>
  <c r="G152" i="1"/>
  <c r="S152" i="1" s="1"/>
  <c r="X152" i="1" s="1"/>
  <c r="G156" i="1"/>
  <c r="S156" i="1" s="1"/>
  <c r="X156" i="1" s="1"/>
  <c r="G160" i="1"/>
  <c r="S160" i="1" s="1"/>
  <c r="X160" i="1" s="1"/>
  <c r="G164" i="1"/>
  <c r="S164" i="1" s="1"/>
  <c r="X164" i="1" s="1"/>
  <c r="G168" i="1"/>
  <c r="S168" i="1" s="1"/>
  <c r="X168" i="1" s="1"/>
  <c r="G172" i="1"/>
  <c r="S172" i="1" s="1"/>
  <c r="X172" i="1" s="1"/>
  <c r="G176" i="1"/>
  <c r="S176" i="1" s="1"/>
  <c r="X176" i="1" s="1"/>
  <c r="G180" i="1"/>
  <c r="S180" i="1" s="1"/>
  <c r="X180" i="1" s="1"/>
  <c r="G184" i="1"/>
  <c r="S184" i="1" s="1"/>
  <c r="X184" i="1" s="1"/>
  <c r="G188" i="1"/>
  <c r="S188" i="1" s="1"/>
  <c r="X188" i="1" s="1"/>
  <c r="G192" i="1"/>
  <c r="S192" i="1" s="1"/>
  <c r="X192" i="1" s="1"/>
  <c r="G196" i="1"/>
  <c r="S196" i="1" s="1"/>
  <c r="X196" i="1" s="1"/>
  <c r="G200" i="1"/>
  <c r="S200" i="1" s="1"/>
  <c r="X200" i="1" s="1"/>
  <c r="G204" i="1"/>
  <c r="S204" i="1" s="1"/>
  <c r="X204" i="1" s="1"/>
  <c r="G208" i="1"/>
  <c r="S208" i="1" s="1"/>
  <c r="X208" i="1" s="1"/>
  <c r="G212" i="1"/>
  <c r="S212" i="1" s="1"/>
  <c r="X212" i="1" s="1"/>
  <c r="G216" i="1"/>
  <c r="S216" i="1" s="1"/>
  <c r="X216" i="1" s="1"/>
  <c r="G220" i="1"/>
  <c r="S220" i="1" s="1"/>
  <c r="X220" i="1" s="1"/>
  <c r="G224" i="1"/>
  <c r="S224" i="1" s="1"/>
  <c r="X224" i="1" s="1"/>
  <c r="G228" i="1"/>
  <c r="S228" i="1" s="1"/>
  <c r="X228" i="1" s="1"/>
  <c r="G232" i="1"/>
  <c r="S232" i="1" s="1"/>
  <c r="X232" i="1" s="1"/>
  <c r="G236" i="1"/>
  <c r="S236" i="1" s="1"/>
  <c r="X236" i="1" s="1"/>
  <c r="G240" i="1"/>
  <c r="S240" i="1" s="1"/>
  <c r="X240" i="1" s="1"/>
  <c r="G244" i="1"/>
  <c r="S244" i="1" s="1"/>
  <c r="X244" i="1" s="1"/>
  <c r="G242" i="1"/>
  <c r="S242" i="1" s="1"/>
  <c r="X242" i="1" s="1"/>
  <c r="C12" i="1"/>
  <c r="C8" i="1"/>
  <c r="C4" i="1"/>
  <c r="C17" i="1"/>
  <c r="C21" i="1"/>
  <c r="C25" i="1"/>
  <c r="C29" i="1"/>
  <c r="C33" i="1"/>
  <c r="D33" i="1" s="1"/>
  <c r="T33" i="1" s="1"/>
  <c r="C37" i="1"/>
  <c r="D37" i="1" s="1"/>
  <c r="T37" i="1" s="1"/>
  <c r="C41" i="1"/>
  <c r="F41" i="1" s="1"/>
  <c r="U41" i="1" s="1"/>
  <c r="W41" i="1" s="1"/>
  <c r="C45" i="1"/>
  <c r="D45" i="1" s="1"/>
  <c r="T45" i="1" s="1"/>
  <c r="C49" i="1"/>
  <c r="F49" i="1" s="1"/>
  <c r="U49" i="1" s="1"/>
  <c r="W49" i="1" s="1"/>
  <c r="C53" i="1"/>
  <c r="F53" i="1" s="1"/>
  <c r="U53" i="1" s="1"/>
  <c r="W53" i="1" s="1"/>
  <c r="C57" i="1"/>
  <c r="F57" i="1" s="1"/>
  <c r="U57" i="1" s="1"/>
  <c r="W57" i="1" s="1"/>
  <c r="C61" i="1"/>
  <c r="F61" i="1" s="1"/>
  <c r="U61" i="1" s="1"/>
  <c r="W61" i="1" s="1"/>
  <c r="C65" i="1"/>
  <c r="D65" i="1" s="1"/>
  <c r="T65" i="1" s="1"/>
  <c r="C69" i="1"/>
  <c r="F69" i="1" s="1"/>
  <c r="U69" i="1" s="1"/>
  <c r="W69" i="1" s="1"/>
  <c r="C73" i="1"/>
  <c r="D73" i="1" s="1"/>
  <c r="T73" i="1" s="1"/>
  <c r="C77" i="1"/>
  <c r="D77" i="1" s="1"/>
  <c r="T77" i="1" s="1"/>
  <c r="C81" i="1"/>
  <c r="D81" i="1" s="1"/>
  <c r="T81" i="1" s="1"/>
  <c r="C85" i="1"/>
  <c r="D85" i="1" s="1"/>
  <c r="T85" i="1" s="1"/>
  <c r="C89" i="1"/>
  <c r="D89" i="1" s="1"/>
  <c r="T89" i="1" s="1"/>
  <c r="C93" i="1"/>
  <c r="D93" i="1" s="1"/>
  <c r="T93" i="1" s="1"/>
  <c r="C97" i="1"/>
  <c r="D97" i="1" s="1"/>
  <c r="T97" i="1" s="1"/>
  <c r="C101" i="1"/>
  <c r="D101" i="1" s="1"/>
  <c r="T101" i="1" s="1"/>
  <c r="C105" i="1"/>
  <c r="D105" i="1" s="1"/>
  <c r="T105" i="1" s="1"/>
  <c r="C109" i="1"/>
  <c r="D109" i="1" s="1"/>
  <c r="T109" i="1" s="1"/>
  <c r="C113" i="1"/>
  <c r="D113" i="1" s="1"/>
  <c r="T113" i="1" s="1"/>
  <c r="C117" i="1"/>
  <c r="D117" i="1" s="1"/>
  <c r="T117" i="1" s="1"/>
  <c r="C121" i="1"/>
  <c r="D121" i="1" s="1"/>
  <c r="T121" i="1" s="1"/>
  <c r="C125" i="1"/>
  <c r="D125" i="1" s="1"/>
  <c r="T125" i="1" s="1"/>
  <c r="C129" i="1"/>
  <c r="D129" i="1" s="1"/>
  <c r="T129" i="1" s="1"/>
  <c r="C133" i="1"/>
  <c r="F133" i="1" s="1"/>
  <c r="U133" i="1" s="1"/>
  <c r="W133" i="1" s="1"/>
  <c r="C137" i="1"/>
  <c r="D137" i="1" s="1"/>
  <c r="T137" i="1" s="1"/>
  <c r="C141" i="1"/>
  <c r="D141" i="1" s="1"/>
  <c r="T141" i="1" s="1"/>
  <c r="C145" i="1"/>
  <c r="D145" i="1" s="1"/>
  <c r="T145" i="1" s="1"/>
  <c r="C149" i="1"/>
  <c r="D149" i="1" s="1"/>
  <c r="T149" i="1" s="1"/>
  <c r="C153" i="1"/>
  <c r="F153" i="1" s="1"/>
  <c r="U153" i="1" s="1"/>
  <c r="W153" i="1" s="1"/>
  <c r="C157" i="1"/>
  <c r="D157" i="1" s="1"/>
  <c r="T157" i="1" s="1"/>
  <c r="C161" i="1"/>
  <c r="D161" i="1" s="1"/>
  <c r="T161" i="1" s="1"/>
  <c r="C165" i="1"/>
  <c r="D165" i="1" s="1"/>
  <c r="T165" i="1" s="1"/>
  <c r="C169" i="1"/>
  <c r="F169" i="1" s="1"/>
  <c r="U169" i="1" s="1"/>
  <c r="W169" i="1" s="1"/>
  <c r="C173" i="1"/>
  <c r="D173" i="1" s="1"/>
  <c r="T173" i="1" s="1"/>
  <c r="C177" i="1"/>
  <c r="D177" i="1" s="1"/>
  <c r="T177" i="1" s="1"/>
  <c r="C181" i="1"/>
  <c r="D181" i="1" s="1"/>
  <c r="T181" i="1" s="1"/>
  <c r="C185" i="1"/>
  <c r="F185" i="1" s="1"/>
  <c r="U185" i="1" s="1"/>
  <c r="W185" i="1" s="1"/>
  <c r="C189" i="1"/>
  <c r="D189" i="1" s="1"/>
  <c r="T189" i="1" s="1"/>
  <c r="C193" i="1"/>
  <c r="F193" i="1" s="1"/>
  <c r="U193" i="1" s="1"/>
  <c r="W193" i="1" s="1"/>
  <c r="C197" i="1"/>
  <c r="F197" i="1" s="1"/>
  <c r="U197" i="1" s="1"/>
  <c r="W197" i="1" s="1"/>
  <c r="C201" i="1"/>
  <c r="F201" i="1" s="1"/>
  <c r="U201" i="1" s="1"/>
  <c r="W201" i="1" s="1"/>
  <c r="C205" i="1"/>
  <c r="D205" i="1" s="1"/>
  <c r="T205" i="1" s="1"/>
  <c r="C209" i="1"/>
  <c r="D209" i="1" s="1"/>
  <c r="T209" i="1" s="1"/>
  <c r="C213" i="1"/>
  <c r="D213" i="1" s="1"/>
  <c r="T213" i="1" s="1"/>
  <c r="C217" i="1"/>
  <c r="D217" i="1" s="1"/>
  <c r="T217" i="1" s="1"/>
  <c r="C221" i="1"/>
  <c r="F221" i="1" s="1"/>
  <c r="U221" i="1" s="1"/>
  <c r="W221" i="1" s="1"/>
  <c r="C225" i="1"/>
  <c r="F225" i="1" s="1"/>
  <c r="U225" i="1" s="1"/>
  <c r="W225" i="1" s="1"/>
  <c r="C229" i="1"/>
  <c r="D229" i="1" s="1"/>
  <c r="T229" i="1" s="1"/>
  <c r="C233" i="1"/>
  <c r="D233" i="1" s="1"/>
  <c r="T233" i="1" s="1"/>
  <c r="C237" i="1"/>
  <c r="D237" i="1" s="1"/>
  <c r="T237" i="1" s="1"/>
  <c r="C241" i="1"/>
  <c r="D241" i="1" s="1"/>
  <c r="T241" i="1" s="1"/>
  <c r="C13" i="1"/>
  <c r="C11" i="1"/>
  <c r="C7" i="1"/>
  <c r="C14" i="1"/>
  <c r="C18" i="1"/>
  <c r="C22" i="1"/>
  <c r="C26" i="1"/>
  <c r="C30" i="1"/>
  <c r="C34" i="1"/>
  <c r="D34" i="1" s="1"/>
  <c r="T34" i="1" s="1"/>
  <c r="C38" i="1"/>
  <c r="D38" i="1" s="1"/>
  <c r="T38" i="1" s="1"/>
  <c r="C42" i="1"/>
  <c r="D42" i="1" s="1"/>
  <c r="T42" i="1" s="1"/>
  <c r="C46" i="1"/>
  <c r="F46" i="1" s="1"/>
  <c r="U46" i="1" s="1"/>
  <c r="W46" i="1" s="1"/>
  <c r="C50" i="1"/>
  <c r="D50" i="1" s="1"/>
  <c r="T50" i="1" s="1"/>
  <c r="C54" i="1"/>
  <c r="D54" i="1" s="1"/>
  <c r="T54" i="1" s="1"/>
  <c r="C58" i="1"/>
  <c r="F58" i="1" s="1"/>
  <c r="U58" i="1" s="1"/>
  <c r="W58" i="1" s="1"/>
  <c r="C62" i="1"/>
  <c r="D62" i="1" s="1"/>
  <c r="T62" i="1" s="1"/>
  <c r="C66" i="1"/>
  <c r="F66" i="1" s="1"/>
  <c r="U66" i="1" s="1"/>
  <c r="W66" i="1" s="1"/>
  <c r="C70" i="1"/>
  <c r="D70" i="1" s="1"/>
  <c r="T70" i="1" s="1"/>
  <c r="C74" i="1"/>
  <c r="D74" i="1" s="1"/>
  <c r="T74" i="1" s="1"/>
  <c r="C78" i="1"/>
  <c r="D78" i="1" s="1"/>
  <c r="T78" i="1" s="1"/>
  <c r="C82" i="1"/>
  <c r="F82" i="1" s="1"/>
  <c r="U82" i="1" s="1"/>
  <c r="W82" i="1" s="1"/>
  <c r="C86" i="1"/>
  <c r="F86" i="1" s="1"/>
  <c r="U86" i="1" s="1"/>
  <c r="W86" i="1" s="1"/>
  <c r="C90" i="1"/>
  <c r="F90" i="1" s="1"/>
  <c r="U90" i="1" s="1"/>
  <c r="W90" i="1" s="1"/>
  <c r="C94" i="1"/>
  <c r="F94" i="1" s="1"/>
  <c r="U94" i="1" s="1"/>
  <c r="W94" i="1" s="1"/>
  <c r="C98" i="1"/>
  <c r="D98" i="1" s="1"/>
  <c r="T98" i="1" s="1"/>
  <c r="C102" i="1"/>
  <c r="D102" i="1" s="1"/>
  <c r="T102" i="1" s="1"/>
  <c r="C106" i="1"/>
  <c r="D106" i="1" s="1"/>
  <c r="T106" i="1" s="1"/>
  <c r="C110" i="1"/>
  <c r="F110" i="1" s="1"/>
  <c r="U110" i="1" s="1"/>
  <c r="W110" i="1" s="1"/>
  <c r="C114" i="1"/>
  <c r="F114" i="1" s="1"/>
  <c r="U114" i="1" s="1"/>
  <c r="W114" i="1" s="1"/>
  <c r="C118" i="1"/>
  <c r="D118" i="1" s="1"/>
  <c r="T118" i="1" s="1"/>
  <c r="C122" i="1"/>
  <c r="F122" i="1" s="1"/>
  <c r="U122" i="1" s="1"/>
  <c r="W122" i="1" s="1"/>
  <c r="C126" i="1"/>
  <c r="D126" i="1" s="1"/>
  <c r="T126" i="1" s="1"/>
  <c r="C130" i="1"/>
  <c r="D130" i="1" s="1"/>
  <c r="T130" i="1" s="1"/>
  <c r="C134" i="1"/>
  <c r="F134" i="1" s="1"/>
  <c r="U134" i="1" s="1"/>
  <c r="W134" i="1" s="1"/>
  <c r="C138" i="1"/>
  <c r="D138" i="1" s="1"/>
  <c r="T138" i="1" s="1"/>
  <c r="C142" i="1"/>
  <c r="F142" i="1" s="1"/>
  <c r="U142" i="1" s="1"/>
  <c r="W142" i="1" s="1"/>
  <c r="C146" i="1"/>
  <c r="F146" i="1" s="1"/>
  <c r="U146" i="1" s="1"/>
  <c r="W146" i="1" s="1"/>
  <c r="C150" i="1"/>
  <c r="D150" i="1" s="1"/>
  <c r="T150" i="1" s="1"/>
  <c r="C154" i="1"/>
  <c r="D154" i="1" s="1"/>
  <c r="T154" i="1" s="1"/>
  <c r="C158" i="1"/>
  <c r="F158" i="1" s="1"/>
  <c r="U158" i="1" s="1"/>
  <c r="W158" i="1" s="1"/>
  <c r="C162" i="1"/>
  <c r="F162" i="1" s="1"/>
  <c r="U162" i="1" s="1"/>
  <c r="W162" i="1" s="1"/>
  <c r="C166" i="1"/>
  <c r="F166" i="1" s="1"/>
  <c r="U166" i="1" s="1"/>
  <c r="W166" i="1" s="1"/>
  <c r="C170" i="1"/>
  <c r="D170" i="1" s="1"/>
  <c r="T170" i="1" s="1"/>
  <c r="C174" i="1"/>
  <c r="F174" i="1" s="1"/>
  <c r="U174" i="1" s="1"/>
  <c r="W174" i="1" s="1"/>
  <c r="C178" i="1"/>
  <c r="D178" i="1" s="1"/>
  <c r="T178" i="1" s="1"/>
  <c r="C182" i="1"/>
  <c r="D182" i="1" s="1"/>
  <c r="T182" i="1" s="1"/>
  <c r="C186" i="1"/>
  <c r="D186" i="1" s="1"/>
  <c r="T186" i="1" s="1"/>
  <c r="C190" i="1"/>
  <c r="F190" i="1" s="1"/>
  <c r="U190" i="1" s="1"/>
  <c r="W190" i="1" s="1"/>
  <c r="C194" i="1"/>
  <c r="F194" i="1" s="1"/>
  <c r="U194" i="1" s="1"/>
  <c r="W194" i="1" s="1"/>
  <c r="C198" i="1"/>
  <c r="D198" i="1" s="1"/>
  <c r="T198" i="1" s="1"/>
  <c r="C202" i="1"/>
  <c r="F202" i="1" s="1"/>
  <c r="U202" i="1" s="1"/>
  <c r="W202" i="1" s="1"/>
  <c r="C206" i="1"/>
  <c r="F206" i="1" s="1"/>
  <c r="U206" i="1" s="1"/>
  <c r="W206" i="1" s="1"/>
  <c r="C210" i="1"/>
  <c r="D210" i="1" s="1"/>
  <c r="T210" i="1" s="1"/>
  <c r="C214" i="1"/>
  <c r="D214" i="1" s="1"/>
  <c r="T214" i="1" s="1"/>
  <c r="C218" i="1"/>
  <c r="F218" i="1" s="1"/>
  <c r="U218" i="1" s="1"/>
  <c r="W218" i="1" s="1"/>
  <c r="C222" i="1"/>
  <c r="F222" i="1" s="1"/>
  <c r="U222" i="1" s="1"/>
  <c r="W222" i="1" s="1"/>
  <c r="C226" i="1"/>
  <c r="F226" i="1" s="1"/>
  <c r="U226" i="1" s="1"/>
  <c r="W226" i="1" s="1"/>
  <c r="C230" i="1"/>
  <c r="F230" i="1" s="1"/>
  <c r="U230" i="1" s="1"/>
  <c r="W230" i="1" s="1"/>
  <c r="C234" i="1"/>
  <c r="D234" i="1" s="1"/>
  <c r="T234" i="1" s="1"/>
  <c r="C238" i="1"/>
  <c r="F238" i="1" s="1"/>
  <c r="U238" i="1" s="1"/>
  <c r="W238" i="1" s="1"/>
  <c r="C242" i="1"/>
  <c r="F242" i="1" s="1"/>
  <c r="U242" i="1" s="1"/>
  <c r="W242" i="1" s="1"/>
  <c r="L5" i="1"/>
  <c r="L7" i="1"/>
  <c r="L9" i="1"/>
  <c r="L11" i="1"/>
  <c r="L13" i="1"/>
  <c r="L15" i="1"/>
  <c r="L17" i="1"/>
  <c r="L19" i="1"/>
  <c r="L21" i="1"/>
  <c r="L23" i="1"/>
  <c r="L25" i="1"/>
  <c r="L27" i="1"/>
  <c r="L29" i="1"/>
  <c r="L31" i="1"/>
  <c r="L33" i="1"/>
  <c r="L35" i="1"/>
  <c r="L37" i="1"/>
  <c r="L39" i="1"/>
  <c r="L41" i="1"/>
  <c r="L43" i="1"/>
  <c r="L45" i="1"/>
  <c r="L47" i="1"/>
  <c r="L49" i="1"/>
  <c r="L51" i="1"/>
  <c r="C10" i="1"/>
  <c r="C6" i="1"/>
  <c r="C15" i="1"/>
  <c r="C19" i="1"/>
  <c r="C23" i="1"/>
  <c r="C27" i="1"/>
  <c r="C31" i="1"/>
  <c r="C35" i="1"/>
  <c r="F35" i="1" s="1"/>
  <c r="U35" i="1" s="1"/>
  <c r="W35" i="1" s="1"/>
  <c r="C39" i="1"/>
  <c r="D39" i="1" s="1"/>
  <c r="T39" i="1" s="1"/>
  <c r="C43" i="1"/>
  <c r="D43" i="1" s="1"/>
  <c r="T43" i="1" s="1"/>
  <c r="C47" i="1"/>
  <c r="F47" i="1" s="1"/>
  <c r="U47" i="1" s="1"/>
  <c r="W47" i="1" s="1"/>
  <c r="C51" i="1"/>
  <c r="F51" i="1" s="1"/>
  <c r="U51" i="1" s="1"/>
  <c r="W51" i="1" s="1"/>
  <c r="C55" i="1"/>
  <c r="F55" i="1" s="1"/>
  <c r="U55" i="1" s="1"/>
  <c r="W55" i="1" s="1"/>
  <c r="C59" i="1"/>
  <c r="F59" i="1" s="1"/>
  <c r="U59" i="1" s="1"/>
  <c r="W59" i="1" s="1"/>
  <c r="C63" i="1"/>
  <c r="F63" i="1" s="1"/>
  <c r="U63" i="1" s="1"/>
  <c r="W63" i="1" s="1"/>
  <c r="C67" i="1"/>
  <c r="D67" i="1" s="1"/>
  <c r="T67" i="1" s="1"/>
  <c r="C71" i="1"/>
  <c r="F71" i="1" s="1"/>
  <c r="U71" i="1" s="1"/>
  <c r="W71" i="1" s="1"/>
  <c r="C75" i="1"/>
  <c r="F75" i="1" s="1"/>
  <c r="U75" i="1" s="1"/>
  <c r="W75" i="1" s="1"/>
  <c r="C79" i="1"/>
  <c r="D79" i="1" s="1"/>
  <c r="T79" i="1" s="1"/>
  <c r="C83" i="1"/>
  <c r="D83" i="1" s="1"/>
  <c r="T83" i="1" s="1"/>
  <c r="C87" i="1"/>
  <c r="F87" i="1" s="1"/>
  <c r="U87" i="1" s="1"/>
  <c r="W87" i="1" s="1"/>
  <c r="C91" i="1"/>
  <c r="D91" i="1" s="1"/>
  <c r="T91" i="1" s="1"/>
  <c r="C95" i="1"/>
  <c r="F95" i="1" s="1"/>
  <c r="U95" i="1" s="1"/>
  <c r="W95" i="1" s="1"/>
  <c r="C99" i="1"/>
  <c r="F99" i="1" s="1"/>
  <c r="U99" i="1" s="1"/>
  <c r="W99" i="1" s="1"/>
  <c r="C103" i="1"/>
  <c r="D103" i="1" s="1"/>
  <c r="T103" i="1" s="1"/>
  <c r="C107" i="1"/>
  <c r="D107" i="1" s="1"/>
  <c r="T107" i="1" s="1"/>
  <c r="C111" i="1"/>
  <c r="F111" i="1" s="1"/>
  <c r="U111" i="1" s="1"/>
  <c r="W111" i="1" s="1"/>
  <c r="C115" i="1"/>
  <c r="D115" i="1" s="1"/>
  <c r="T115" i="1" s="1"/>
  <c r="C119" i="1"/>
  <c r="F119" i="1" s="1"/>
  <c r="U119" i="1" s="1"/>
  <c r="W119" i="1" s="1"/>
  <c r="C123" i="1"/>
  <c r="F123" i="1" s="1"/>
  <c r="U123" i="1" s="1"/>
  <c r="W123" i="1" s="1"/>
  <c r="C127" i="1"/>
  <c r="D127" i="1" s="1"/>
  <c r="T127" i="1" s="1"/>
  <c r="C131" i="1"/>
  <c r="D131" i="1" s="1"/>
  <c r="T131" i="1" s="1"/>
  <c r="C135" i="1"/>
  <c r="D135" i="1" s="1"/>
  <c r="T135" i="1" s="1"/>
  <c r="C139" i="1"/>
  <c r="F139" i="1" s="1"/>
  <c r="U139" i="1" s="1"/>
  <c r="W139" i="1" s="1"/>
  <c r="C143" i="1"/>
  <c r="F143" i="1" s="1"/>
  <c r="U143" i="1" s="1"/>
  <c r="W143" i="1" s="1"/>
  <c r="C147" i="1"/>
  <c r="D147" i="1" s="1"/>
  <c r="T147" i="1" s="1"/>
  <c r="C151" i="1"/>
  <c r="D151" i="1" s="1"/>
  <c r="T151" i="1" s="1"/>
  <c r="C155" i="1"/>
  <c r="F155" i="1" s="1"/>
  <c r="U155" i="1" s="1"/>
  <c r="W155" i="1" s="1"/>
  <c r="C159" i="1"/>
  <c r="F159" i="1" s="1"/>
  <c r="U159" i="1" s="1"/>
  <c r="W159" i="1" s="1"/>
  <c r="C163" i="1"/>
  <c r="F163" i="1" s="1"/>
  <c r="U163" i="1" s="1"/>
  <c r="W163" i="1" s="1"/>
  <c r="C167" i="1"/>
  <c r="F167" i="1" s="1"/>
  <c r="U167" i="1" s="1"/>
  <c r="W167" i="1" s="1"/>
  <c r="C171" i="1"/>
  <c r="F171" i="1" s="1"/>
  <c r="U171" i="1" s="1"/>
  <c r="W171" i="1" s="1"/>
  <c r="C175" i="1"/>
  <c r="F175" i="1" s="1"/>
  <c r="U175" i="1" s="1"/>
  <c r="W175" i="1" s="1"/>
  <c r="C179" i="1"/>
  <c r="F179" i="1" s="1"/>
  <c r="U179" i="1" s="1"/>
  <c r="W179" i="1" s="1"/>
  <c r="C183" i="1"/>
  <c r="F183" i="1" s="1"/>
  <c r="U183" i="1" s="1"/>
  <c r="W183" i="1" s="1"/>
  <c r="C187" i="1"/>
  <c r="D187" i="1" s="1"/>
  <c r="T187" i="1" s="1"/>
  <c r="C191" i="1"/>
  <c r="F191" i="1" s="1"/>
  <c r="U191" i="1" s="1"/>
  <c r="W191" i="1" s="1"/>
  <c r="C195" i="1"/>
  <c r="D195" i="1" s="1"/>
  <c r="T195" i="1" s="1"/>
  <c r="C199" i="1"/>
  <c r="F199" i="1" s="1"/>
  <c r="U199" i="1" s="1"/>
  <c r="W199" i="1" s="1"/>
  <c r="C203" i="1"/>
  <c r="F203" i="1" s="1"/>
  <c r="U203" i="1" s="1"/>
  <c r="W203" i="1" s="1"/>
  <c r="C207" i="1"/>
  <c r="F207" i="1" s="1"/>
  <c r="U207" i="1" s="1"/>
  <c r="W207" i="1" s="1"/>
  <c r="C211" i="1"/>
  <c r="F211" i="1" s="1"/>
  <c r="U211" i="1" s="1"/>
  <c r="W211" i="1" s="1"/>
  <c r="C215" i="1"/>
  <c r="F215" i="1" s="1"/>
  <c r="U215" i="1" s="1"/>
  <c r="W215" i="1" s="1"/>
  <c r="C219" i="1"/>
  <c r="F219" i="1" s="1"/>
  <c r="U219" i="1" s="1"/>
  <c r="W219" i="1" s="1"/>
  <c r="C223" i="1"/>
  <c r="D223" i="1" s="1"/>
  <c r="T223" i="1" s="1"/>
  <c r="C227" i="1"/>
  <c r="D227" i="1" s="1"/>
  <c r="T227" i="1" s="1"/>
  <c r="C231" i="1"/>
  <c r="F231" i="1" s="1"/>
  <c r="U231" i="1" s="1"/>
  <c r="W231" i="1" s="1"/>
  <c r="C235" i="1"/>
  <c r="D235" i="1" s="1"/>
  <c r="T235" i="1" s="1"/>
  <c r="C239" i="1"/>
  <c r="D239" i="1" s="1"/>
  <c r="T239" i="1" s="1"/>
  <c r="C243" i="1"/>
  <c r="F243" i="1" s="1"/>
  <c r="U243" i="1" s="1"/>
  <c r="W243" i="1" s="1"/>
  <c r="C9" i="1"/>
  <c r="C24" i="1"/>
  <c r="C40" i="1"/>
  <c r="D40" i="1" s="1"/>
  <c r="T40" i="1" s="1"/>
  <c r="C56" i="1"/>
  <c r="D56" i="1" s="1"/>
  <c r="T56" i="1" s="1"/>
  <c r="C72" i="1"/>
  <c r="F72" i="1" s="1"/>
  <c r="U72" i="1" s="1"/>
  <c r="W72" i="1" s="1"/>
  <c r="C88" i="1"/>
  <c r="F88" i="1" s="1"/>
  <c r="U88" i="1" s="1"/>
  <c r="W88" i="1" s="1"/>
  <c r="C104" i="1"/>
  <c r="D104" i="1" s="1"/>
  <c r="T104" i="1" s="1"/>
  <c r="C120" i="1"/>
  <c r="F120" i="1" s="1"/>
  <c r="U120" i="1" s="1"/>
  <c r="W120" i="1" s="1"/>
  <c r="C136" i="1"/>
  <c r="D136" i="1" s="1"/>
  <c r="T136" i="1" s="1"/>
  <c r="C152" i="1"/>
  <c r="D152" i="1" s="1"/>
  <c r="T152" i="1" s="1"/>
  <c r="C168" i="1"/>
  <c r="D168" i="1" s="1"/>
  <c r="T168" i="1" s="1"/>
  <c r="C184" i="1"/>
  <c r="D184" i="1" s="1"/>
  <c r="T184" i="1" s="1"/>
  <c r="C200" i="1"/>
  <c r="F200" i="1" s="1"/>
  <c r="U200" i="1" s="1"/>
  <c r="W200" i="1" s="1"/>
  <c r="C216" i="1"/>
  <c r="F216" i="1" s="1"/>
  <c r="U216" i="1" s="1"/>
  <c r="W216" i="1" s="1"/>
  <c r="C232" i="1"/>
  <c r="D232" i="1" s="1"/>
  <c r="T232" i="1" s="1"/>
  <c r="L6" i="1"/>
  <c r="L14" i="1"/>
  <c r="L22" i="1"/>
  <c r="L30" i="1"/>
  <c r="L38" i="1"/>
  <c r="L46" i="1"/>
  <c r="L53" i="1"/>
  <c r="L55" i="1"/>
  <c r="L57" i="1"/>
  <c r="L59" i="1"/>
  <c r="L61" i="1"/>
  <c r="L63" i="1"/>
  <c r="L65" i="1"/>
  <c r="L67" i="1"/>
  <c r="L69" i="1"/>
  <c r="L71" i="1"/>
  <c r="L73" i="1"/>
  <c r="L75" i="1"/>
  <c r="L77" i="1"/>
  <c r="L79" i="1"/>
  <c r="L81" i="1"/>
  <c r="L83" i="1"/>
  <c r="L85" i="1"/>
  <c r="L87" i="1"/>
  <c r="L89" i="1"/>
  <c r="L91" i="1"/>
  <c r="L93" i="1"/>
  <c r="L95" i="1"/>
  <c r="L97" i="1"/>
  <c r="L99" i="1"/>
  <c r="L101" i="1"/>
  <c r="L103" i="1"/>
  <c r="L105" i="1"/>
  <c r="L107" i="1"/>
  <c r="L109" i="1"/>
  <c r="L111" i="1"/>
  <c r="L113" i="1"/>
  <c r="L115" i="1"/>
  <c r="L117" i="1"/>
  <c r="L119" i="1"/>
  <c r="L121" i="1"/>
  <c r="L123" i="1"/>
  <c r="L125" i="1"/>
  <c r="L127" i="1"/>
  <c r="L129" i="1"/>
  <c r="L131" i="1"/>
  <c r="L133" i="1"/>
  <c r="L135" i="1"/>
  <c r="L137" i="1"/>
  <c r="L139" i="1"/>
  <c r="L141" i="1"/>
  <c r="L143" i="1"/>
  <c r="L145" i="1"/>
  <c r="L147" i="1"/>
  <c r="L149" i="1"/>
  <c r="L151" i="1"/>
  <c r="L153" i="1"/>
  <c r="L155" i="1"/>
  <c r="L157" i="1"/>
  <c r="L159" i="1"/>
  <c r="L161" i="1"/>
  <c r="L163" i="1"/>
  <c r="L165" i="1"/>
  <c r="L167" i="1"/>
  <c r="L169" i="1"/>
  <c r="L171" i="1"/>
  <c r="L173" i="1"/>
  <c r="L175" i="1"/>
  <c r="L177" i="1"/>
  <c r="L179" i="1"/>
  <c r="L181" i="1"/>
  <c r="C5" i="1"/>
  <c r="C28" i="1"/>
  <c r="C44" i="1"/>
  <c r="D44" i="1" s="1"/>
  <c r="T44" i="1" s="1"/>
  <c r="C60" i="1"/>
  <c r="D60" i="1" s="1"/>
  <c r="T60" i="1" s="1"/>
  <c r="C76" i="1"/>
  <c r="D76" i="1" s="1"/>
  <c r="T76" i="1" s="1"/>
  <c r="C92" i="1"/>
  <c r="D92" i="1" s="1"/>
  <c r="T92" i="1" s="1"/>
  <c r="C108" i="1"/>
  <c r="F108" i="1" s="1"/>
  <c r="U108" i="1" s="1"/>
  <c r="W108" i="1" s="1"/>
  <c r="C124" i="1"/>
  <c r="D124" i="1" s="1"/>
  <c r="T124" i="1" s="1"/>
  <c r="C140" i="1"/>
  <c r="D140" i="1" s="1"/>
  <c r="T140" i="1" s="1"/>
  <c r="C156" i="1"/>
  <c r="D156" i="1" s="1"/>
  <c r="T156" i="1" s="1"/>
  <c r="C172" i="1"/>
  <c r="D172" i="1" s="1"/>
  <c r="T172" i="1" s="1"/>
  <c r="C188" i="1"/>
  <c r="D188" i="1" s="1"/>
  <c r="T188" i="1" s="1"/>
  <c r="C204" i="1"/>
  <c r="F204" i="1" s="1"/>
  <c r="U204" i="1" s="1"/>
  <c r="W204" i="1" s="1"/>
  <c r="C220" i="1"/>
  <c r="D220" i="1" s="1"/>
  <c r="T220" i="1" s="1"/>
  <c r="C236" i="1"/>
  <c r="D236" i="1" s="1"/>
  <c r="T236" i="1" s="1"/>
  <c r="L8" i="1"/>
  <c r="L16" i="1"/>
  <c r="L24" i="1"/>
  <c r="L32" i="1"/>
  <c r="L40" i="1"/>
  <c r="L48" i="1"/>
  <c r="C16" i="1"/>
  <c r="C32" i="1"/>
  <c r="C48" i="1"/>
  <c r="D48" i="1" s="1"/>
  <c r="T48" i="1" s="1"/>
  <c r="C64" i="1"/>
  <c r="F64" i="1" s="1"/>
  <c r="U64" i="1" s="1"/>
  <c r="W64" i="1" s="1"/>
  <c r="C80" i="1"/>
  <c r="F80" i="1" s="1"/>
  <c r="U80" i="1" s="1"/>
  <c r="W80" i="1" s="1"/>
  <c r="C96" i="1"/>
  <c r="F96" i="1" s="1"/>
  <c r="U96" i="1" s="1"/>
  <c r="W96" i="1" s="1"/>
  <c r="C112" i="1"/>
  <c r="D112" i="1" s="1"/>
  <c r="T112" i="1" s="1"/>
  <c r="C128" i="1"/>
  <c r="D128" i="1" s="1"/>
  <c r="T128" i="1" s="1"/>
  <c r="C144" i="1"/>
  <c r="D144" i="1" s="1"/>
  <c r="T144" i="1" s="1"/>
  <c r="C160" i="1"/>
  <c r="D160" i="1" s="1"/>
  <c r="T160" i="1" s="1"/>
  <c r="C176" i="1"/>
  <c r="D176" i="1" s="1"/>
  <c r="T176" i="1" s="1"/>
  <c r="C192" i="1"/>
  <c r="F192" i="1" s="1"/>
  <c r="U192" i="1" s="1"/>
  <c r="W192" i="1" s="1"/>
  <c r="C208" i="1"/>
  <c r="D208" i="1" s="1"/>
  <c r="T208" i="1" s="1"/>
  <c r="C224" i="1"/>
  <c r="D224" i="1" s="1"/>
  <c r="T224" i="1" s="1"/>
  <c r="C240" i="1"/>
  <c r="D240" i="1" s="1"/>
  <c r="T240" i="1" s="1"/>
  <c r="L10" i="1"/>
  <c r="L18" i="1"/>
  <c r="L26" i="1"/>
  <c r="L34" i="1"/>
  <c r="L42" i="1"/>
  <c r="L50" i="1"/>
  <c r="L54" i="1"/>
  <c r="L56" i="1"/>
  <c r="L58" i="1"/>
  <c r="L60" i="1"/>
  <c r="L62" i="1"/>
  <c r="L64" i="1"/>
  <c r="L66" i="1"/>
  <c r="L68" i="1"/>
  <c r="L70" i="1"/>
  <c r="L72" i="1"/>
  <c r="L74" i="1"/>
  <c r="L76" i="1"/>
  <c r="L78" i="1"/>
  <c r="L80" i="1"/>
  <c r="L82" i="1"/>
  <c r="L84" i="1"/>
  <c r="L86" i="1"/>
  <c r="L88" i="1"/>
  <c r="L90" i="1"/>
  <c r="L92" i="1"/>
  <c r="L94" i="1"/>
  <c r="L96" i="1"/>
  <c r="L98" i="1"/>
  <c r="L100" i="1"/>
  <c r="L102" i="1"/>
  <c r="L104" i="1"/>
  <c r="L106" i="1"/>
  <c r="L108" i="1"/>
  <c r="L110" i="1"/>
  <c r="L112" i="1"/>
  <c r="L114" i="1"/>
  <c r="L116" i="1"/>
  <c r="L118" i="1"/>
  <c r="L120" i="1"/>
  <c r="L122" i="1"/>
  <c r="L124" i="1"/>
  <c r="L126" i="1"/>
  <c r="L128" i="1"/>
  <c r="L130" i="1"/>
  <c r="L132" i="1"/>
  <c r="L134" i="1"/>
  <c r="L136" i="1"/>
  <c r="L138" i="1"/>
  <c r="L140" i="1"/>
  <c r="L142" i="1"/>
  <c r="L144" i="1"/>
  <c r="L146" i="1"/>
  <c r="L148" i="1"/>
  <c r="L150" i="1"/>
  <c r="L152" i="1"/>
  <c r="L154" i="1"/>
  <c r="L156" i="1"/>
  <c r="L158" i="1"/>
  <c r="L160" i="1"/>
  <c r="L162" i="1"/>
  <c r="L164" i="1"/>
  <c r="L166" i="1"/>
  <c r="L168" i="1"/>
  <c r="L170" i="1"/>
  <c r="L172" i="1"/>
  <c r="L174" i="1"/>
  <c r="L176" i="1"/>
  <c r="L178" i="1"/>
  <c r="L180" i="1"/>
  <c r="C20" i="1"/>
  <c r="C84" i="1"/>
  <c r="D84" i="1" s="1"/>
  <c r="T84" i="1" s="1"/>
  <c r="C148" i="1"/>
  <c r="D148" i="1" s="1"/>
  <c r="T148" i="1" s="1"/>
  <c r="C212" i="1"/>
  <c r="D212" i="1" s="1"/>
  <c r="T212" i="1" s="1"/>
  <c r="L20" i="1"/>
  <c r="L52" i="1"/>
  <c r="L183" i="1"/>
  <c r="L185" i="1"/>
  <c r="L187" i="1"/>
  <c r="L189" i="1"/>
  <c r="L191" i="1"/>
  <c r="L193" i="1"/>
  <c r="L197" i="1"/>
  <c r="L201" i="1"/>
  <c r="L205" i="1"/>
  <c r="L209" i="1"/>
  <c r="L213" i="1"/>
  <c r="L217" i="1"/>
  <c r="L221" i="1"/>
  <c r="L225" i="1"/>
  <c r="L229" i="1"/>
  <c r="L233" i="1"/>
  <c r="L237" i="1"/>
  <c r="L241" i="1"/>
  <c r="C36" i="1"/>
  <c r="F36" i="1" s="1"/>
  <c r="U36" i="1" s="1"/>
  <c r="W36" i="1" s="1"/>
  <c r="C100" i="1"/>
  <c r="D100" i="1" s="1"/>
  <c r="T100" i="1" s="1"/>
  <c r="C164" i="1"/>
  <c r="F164" i="1" s="1"/>
  <c r="U164" i="1" s="1"/>
  <c r="W164" i="1" s="1"/>
  <c r="C228" i="1"/>
  <c r="F228" i="1" s="1"/>
  <c r="U228" i="1" s="1"/>
  <c r="W228" i="1" s="1"/>
  <c r="L28" i="1"/>
  <c r="L196" i="1"/>
  <c r="L200" i="1"/>
  <c r="L204" i="1"/>
  <c r="L208" i="1"/>
  <c r="L212" i="1"/>
  <c r="L216" i="1"/>
  <c r="L220" i="1"/>
  <c r="L224" i="1"/>
  <c r="L228" i="1"/>
  <c r="L232" i="1"/>
  <c r="L236" i="1"/>
  <c r="L240" i="1"/>
  <c r="L244" i="1"/>
  <c r="L4" i="1"/>
  <c r="C52" i="1"/>
  <c r="D52" i="1" s="1"/>
  <c r="T52" i="1" s="1"/>
  <c r="C116" i="1"/>
  <c r="F116" i="1" s="1"/>
  <c r="U116" i="1" s="1"/>
  <c r="W116" i="1" s="1"/>
  <c r="C180" i="1"/>
  <c r="D180" i="1" s="1"/>
  <c r="T180" i="1" s="1"/>
  <c r="C244" i="1"/>
  <c r="D244" i="1" s="1"/>
  <c r="T244" i="1" s="1"/>
  <c r="L36" i="1"/>
  <c r="L182" i="1"/>
  <c r="L184" i="1"/>
  <c r="L186" i="1"/>
  <c r="L188" i="1"/>
  <c r="L190" i="1"/>
  <c r="L192" i="1"/>
  <c r="L195" i="1"/>
  <c r="L199" i="1"/>
  <c r="L203" i="1"/>
  <c r="L207" i="1"/>
  <c r="L211" i="1"/>
  <c r="L215" i="1"/>
  <c r="L219" i="1"/>
  <c r="L223" i="1"/>
  <c r="L227" i="1"/>
  <c r="L231" i="1"/>
  <c r="L235" i="1"/>
  <c r="L239" i="1"/>
  <c r="L243" i="1"/>
  <c r="C68" i="1"/>
  <c r="F68" i="1" s="1"/>
  <c r="U68" i="1" s="1"/>
  <c r="W68" i="1" s="1"/>
  <c r="L44" i="1"/>
  <c r="L206" i="1"/>
  <c r="L222" i="1"/>
  <c r="L238" i="1"/>
  <c r="L226" i="1"/>
  <c r="L242" i="1"/>
  <c r="C132" i="1"/>
  <c r="D132" i="1" s="1"/>
  <c r="T132" i="1" s="1"/>
  <c r="L202" i="1"/>
  <c r="L218" i="1"/>
  <c r="L234" i="1"/>
  <c r="D222" i="1"/>
  <c r="T222" i="1" s="1"/>
  <c r="C196" i="1"/>
  <c r="D196" i="1" s="1"/>
  <c r="T196" i="1" s="1"/>
  <c r="L198" i="1"/>
  <c r="L214" i="1"/>
  <c r="L230" i="1"/>
  <c r="F232" i="1"/>
  <c r="U232" i="1" s="1"/>
  <c r="W232" i="1" s="1"/>
  <c r="F241" i="1"/>
  <c r="U241" i="1" s="1"/>
  <c r="W241" i="1" s="1"/>
  <c r="L12" i="1"/>
  <c r="L194" i="1"/>
  <c r="L210" i="1"/>
  <c r="D238" i="1"/>
  <c r="T238" i="1" s="1"/>
  <c r="AQ43" i="14" l="1" a="1"/>
  <c r="AQ43" i="14" s="1"/>
  <c r="AP43" i="14" a="1"/>
  <c r="AP43" i="14" s="1"/>
  <c r="F168" i="1"/>
  <c r="U168" i="1" s="1"/>
  <c r="W168" i="1" s="1"/>
  <c r="D225" i="1"/>
  <c r="T225" i="1" s="1"/>
  <c r="D245" i="1"/>
  <c r="T245" i="1" s="1"/>
  <c r="F229" i="1"/>
  <c r="F220" i="1"/>
  <c r="D243" i="1"/>
  <c r="T243" i="1" s="1"/>
  <c r="F19" i="1"/>
  <c r="F13" i="1"/>
  <c r="D12" i="1"/>
  <c r="T12" i="1" s="1"/>
  <c r="D5" i="1"/>
  <c r="T5" i="1" s="1"/>
  <c r="D31" i="1"/>
  <c r="T31" i="1" s="1"/>
  <c r="F15" i="1"/>
  <c r="D30" i="1"/>
  <c r="T30" i="1" s="1"/>
  <c r="F14" i="1"/>
  <c r="F17" i="1"/>
  <c r="F18" i="1"/>
  <c r="D21" i="1"/>
  <c r="T21" i="1" s="1"/>
  <c r="F24" i="1"/>
  <c r="D27" i="1"/>
  <c r="T27" i="1" s="1"/>
  <c r="F6" i="1"/>
  <c r="F26" i="1"/>
  <c r="D7" i="1"/>
  <c r="T7" i="1" s="1"/>
  <c r="D29" i="1"/>
  <c r="T29" i="1" s="1"/>
  <c r="D4" i="1"/>
  <c r="T4" i="1" s="1"/>
  <c r="D16" i="1"/>
  <c r="T16" i="1" s="1"/>
  <c r="F28" i="1"/>
  <c r="D20" i="1"/>
  <c r="T20" i="1" s="1"/>
  <c r="F32" i="1"/>
  <c r="D9" i="1"/>
  <c r="T9" i="1" s="1"/>
  <c r="D23" i="1"/>
  <c r="T23" i="1" s="1"/>
  <c r="F10" i="1"/>
  <c r="F22" i="1"/>
  <c r="D11" i="1"/>
  <c r="T11" i="1" s="1"/>
  <c r="D25" i="1"/>
  <c r="T25" i="1" s="1"/>
  <c r="D8" i="1"/>
  <c r="T8" i="1" s="1"/>
  <c r="F227" i="1"/>
  <c r="F223" i="1"/>
  <c r="D192" i="1"/>
  <c r="T192" i="1" s="1"/>
  <c r="F209" i="1"/>
  <c r="F113" i="1"/>
  <c r="F261" i="1"/>
  <c r="U261" i="1" s="1"/>
  <c r="W261" i="1" s="1"/>
  <c r="D47" i="1"/>
  <c r="T47" i="1" s="1"/>
  <c r="D190" i="1"/>
  <c r="T190" i="1" s="1"/>
  <c r="F239" i="1"/>
  <c r="D242" i="1"/>
  <c r="T242" i="1" s="1"/>
  <c r="D226" i="1"/>
  <c r="T226" i="1" s="1"/>
  <c r="D263" i="1"/>
  <c r="T263" i="1" s="1"/>
  <c r="D231" i="1"/>
  <c r="T231" i="1" s="1"/>
  <c r="F265" i="1"/>
  <c r="U265" i="1" s="1"/>
  <c r="W265" i="1" s="1"/>
  <c r="F256" i="1"/>
  <c r="D246" i="1"/>
  <c r="T246" i="1" s="1"/>
  <c r="F255" i="1"/>
  <c r="D228" i="1"/>
  <c r="T228" i="1" s="1"/>
  <c r="F234" i="1"/>
  <c r="F235" i="1"/>
  <c r="I261" i="1"/>
  <c r="M261" i="1" s="1"/>
  <c r="O261" i="1" s="1"/>
  <c r="D270" i="1"/>
  <c r="T270" i="1" s="1"/>
  <c r="I263" i="1"/>
  <c r="M263" i="1" s="1"/>
  <c r="O263" i="1" s="1"/>
  <c r="I245" i="1"/>
  <c r="M245" i="1" s="1"/>
  <c r="O245" i="1" s="1"/>
  <c r="I267" i="1"/>
  <c r="M267" i="1" s="1"/>
  <c r="O267" i="1" s="1"/>
  <c r="I269" i="1"/>
  <c r="M269" i="1" s="1"/>
  <c r="O269" i="1" s="1"/>
  <c r="D68" i="1"/>
  <c r="T68" i="1" s="1"/>
  <c r="D158" i="1"/>
  <c r="T158" i="1" s="1"/>
  <c r="F249" i="1"/>
  <c r="D272" i="1"/>
  <c r="T272" i="1" s="1"/>
  <c r="F137" i="1"/>
  <c r="D167" i="1"/>
  <c r="T167" i="1" s="1"/>
  <c r="F182" i="1"/>
  <c r="F151" i="1"/>
  <c r="D200" i="1"/>
  <c r="T200" i="1" s="1"/>
  <c r="D166" i="1"/>
  <c r="T166" i="1" s="1"/>
  <c r="I284" i="1"/>
  <c r="F274" i="1"/>
  <c r="I254" i="1"/>
  <c r="M254" i="1" s="1"/>
  <c r="O254" i="1" s="1"/>
  <c r="I281" i="1"/>
  <c r="J282" i="1" s="1"/>
  <c r="I273" i="1"/>
  <c r="M273" i="1" s="1"/>
  <c r="O273" i="1" s="1"/>
  <c r="I251" i="1"/>
  <c r="I278" i="1"/>
  <c r="I276" i="1"/>
  <c r="F268" i="1"/>
  <c r="F172" i="1"/>
  <c r="F136" i="1"/>
  <c r="D183" i="1"/>
  <c r="T183" i="1" s="1"/>
  <c r="F11" i="1"/>
  <c r="F236" i="1"/>
  <c r="F214" i="1"/>
  <c r="D199" i="1"/>
  <c r="T199" i="1" s="1"/>
  <c r="D185" i="1"/>
  <c r="T185" i="1" s="1"/>
  <c r="F224" i="1"/>
  <c r="F198" i="1"/>
  <c r="D201" i="1"/>
  <c r="T201" i="1" s="1"/>
  <c r="D271" i="1"/>
  <c r="T271" i="1" s="1"/>
  <c r="I270" i="1"/>
  <c r="F257" i="1"/>
  <c r="F260" i="1"/>
  <c r="I258" i="1"/>
  <c r="F248" i="1"/>
  <c r="I279" i="1"/>
  <c r="I259" i="1"/>
  <c r="I283" i="1"/>
  <c r="J283" i="1" s="1"/>
  <c r="D278" i="1"/>
  <c r="T278" i="1" s="1"/>
  <c r="F160" i="1"/>
  <c r="D55" i="1"/>
  <c r="T55" i="1" s="1"/>
  <c r="F244" i="1"/>
  <c r="F217" i="1"/>
  <c r="D230" i="1"/>
  <c r="T230" i="1" s="1"/>
  <c r="D169" i="1"/>
  <c r="T169" i="1" s="1"/>
  <c r="F233" i="1"/>
  <c r="F150" i="1"/>
  <c r="M251" i="1"/>
  <c r="O251" i="1" s="1"/>
  <c r="I265" i="1"/>
  <c r="I247" i="1"/>
  <c r="I272" i="1"/>
  <c r="F253" i="1"/>
  <c r="I271" i="1"/>
  <c r="D250" i="1"/>
  <c r="T250" i="1" s="1"/>
  <c r="I280" i="1"/>
  <c r="I266" i="1"/>
  <c r="M266" i="1" s="1"/>
  <c r="O266" i="1" s="1"/>
  <c r="I264" i="1"/>
  <c r="I262" i="1"/>
  <c r="D215" i="1"/>
  <c r="T215" i="1" s="1"/>
  <c r="D153" i="1"/>
  <c r="T153" i="1" s="1"/>
  <c r="I277" i="1"/>
  <c r="F252" i="1"/>
  <c r="I250" i="1"/>
  <c r="I246" i="1"/>
  <c r="I275" i="1"/>
  <c r="D139" i="1"/>
  <c r="T139" i="1" s="1"/>
  <c r="F154" i="1"/>
  <c r="I242" i="1"/>
  <c r="M242" i="1" s="1"/>
  <c r="O242" i="1" s="1"/>
  <c r="I47" i="1"/>
  <c r="M47" i="1" s="1"/>
  <c r="O47" i="1" s="1"/>
  <c r="F140" i="1"/>
  <c r="D159" i="1"/>
  <c r="T159" i="1" s="1"/>
  <c r="D143" i="1"/>
  <c r="T143" i="1" s="1"/>
  <c r="F161" i="1"/>
  <c r="F177" i="1"/>
  <c r="D204" i="1"/>
  <c r="T204" i="1" s="1"/>
  <c r="F107" i="1"/>
  <c r="F138" i="1"/>
  <c r="F45" i="1"/>
  <c r="D175" i="1"/>
  <c r="T175" i="1" s="1"/>
  <c r="I243" i="1"/>
  <c r="M243" i="1" s="1"/>
  <c r="O243" i="1" s="1"/>
  <c r="D206" i="1"/>
  <c r="T206" i="1" s="1"/>
  <c r="I230" i="1"/>
  <c r="M230" i="1" s="1"/>
  <c r="O230" i="1" s="1"/>
  <c r="I111" i="1"/>
  <c r="M111" i="1" s="1"/>
  <c r="O111" i="1" s="1"/>
  <c r="D207" i="1"/>
  <c r="T207" i="1" s="1"/>
  <c r="F145" i="1"/>
  <c r="F188" i="1"/>
  <c r="D174" i="1"/>
  <c r="T174" i="1" s="1"/>
  <c r="D193" i="1"/>
  <c r="T193" i="1" s="1"/>
  <c r="D142" i="1"/>
  <c r="T142" i="1" s="1"/>
  <c r="F97" i="1"/>
  <c r="D59" i="1"/>
  <c r="T59" i="1" s="1"/>
  <c r="D197" i="1"/>
  <c r="T197" i="1" s="1"/>
  <c r="F52" i="1"/>
  <c r="D194" i="1"/>
  <c r="T194" i="1" s="1"/>
  <c r="D163" i="1"/>
  <c r="T163" i="1" s="1"/>
  <c r="I90" i="1"/>
  <c r="M90" i="1" s="1"/>
  <c r="O90" i="1" s="1"/>
  <c r="D35" i="1"/>
  <c r="T35" i="1" s="1"/>
  <c r="D99" i="1"/>
  <c r="T99" i="1" s="1"/>
  <c r="F144" i="1"/>
  <c r="F16" i="1"/>
  <c r="D82" i="1"/>
  <c r="T82" i="1" s="1"/>
  <c r="F37" i="1"/>
  <c r="F210" i="1"/>
  <c r="I211" i="1"/>
  <c r="M211" i="1" s="1"/>
  <c r="O211" i="1" s="1"/>
  <c r="F149" i="1"/>
  <c r="F92" i="1"/>
  <c r="F213" i="1"/>
  <c r="D19" i="1"/>
  <c r="T19" i="1" s="1"/>
  <c r="D80" i="1"/>
  <c r="T80" i="1" s="1"/>
  <c r="D116" i="1"/>
  <c r="T116" i="1" s="1"/>
  <c r="F208" i="1"/>
  <c r="F212" i="1"/>
  <c r="F83" i="1"/>
  <c r="D211" i="1"/>
  <c r="T211" i="1" s="1"/>
  <c r="D191" i="1"/>
  <c r="T191" i="1" s="1"/>
  <c r="I95" i="1"/>
  <c r="M95" i="1" s="1"/>
  <c r="O95" i="1" s="1"/>
  <c r="F195" i="1"/>
  <c r="I63" i="1"/>
  <c r="M63" i="1" s="1"/>
  <c r="O63" i="1" s="1"/>
  <c r="F50" i="1"/>
  <c r="D51" i="1"/>
  <c r="T51" i="1" s="1"/>
  <c r="F178" i="1"/>
  <c r="D18" i="1"/>
  <c r="T18" i="1" s="1"/>
  <c r="F148" i="1"/>
  <c r="I207" i="1"/>
  <c r="M207" i="1" s="1"/>
  <c r="O207" i="1" s="1"/>
  <c r="F147" i="1"/>
  <c r="I164" i="1"/>
  <c r="M164" i="1" s="1"/>
  <c r="O164" i="1" s="1"/>
  <c r="I216" i="1"/>
  <c r="M216" i="1" s="1"/>
  <c r="O216" i="1" s="1"/>
  <c r="F12" i="1"/>
  <c r="D53" i="1"/>
  <c r="T53" i="1" s="1"/>
  <c r="D179" i="1"/>
  <c r="T179" i="1" s="1"/>
  <c r="D114" i="1"/>
  <c r="T114" i="1" s="1"/>
  <c r="F21" i="1"/>
  <c r="F165" i="1"/>
  <c r="D120" i="1"/>
  <c r="T120" i="1" s="1"/>
  <c r="D28" i="1"/>
  <c r="T28" i="1" s="1"/>
  <c r="F180" i="1"/>
  <c r="D69" i="1"/>
  <c r="T69" i="1" s="1"/>
  <c r="I169" i="1"/>
  <c r="M169" i="1" s="1"/>
  <c r="O169" i="1" s="1"/>
  <c r="F115" i="1"/>
  <c r="I58" i="1"/>
  <c r="M58" i="1" s="1"/>
  <c r="O58" i="1" s="1"/>
  <c r="D162" i="1"/>
  <c r="T162" i="1" s="1"/>
  <c r="D146" i="1"/>
  <c r="T146" i="1" s="1"/>
  <c r="F34" i="1"/>
  <c r="D13" i="1"/>
  <c r="T13" i="1" s="1"/>
  <c r="F156" i="1"/>
  <c r="F181" i="1"/>
  <c r="F101" i="1"/>
  <c r="F67" i="1"/>
  <c r="F117" i="1"/>
  <c r="F98" i="1"/>
  <c r="D66" i="1"/>
  <c r="T66" i="1" s="1"/>
  <c r="F130" i="1"/>
  <c r="F56" i="1"/>
  <c r="F184" i="1"/>
  <c r="F131" i="1"/>
  <c r="D133" i="1"/>
  <c r="T133" i="1" s="1"/>
  <c r="I61" i="1"/>
  <c r="M61" i="1" s="1"/>
  <c r="O61" i="1" s="1"/>
  <c r="I185" i="1"/>
  <c r="M185" i="1" s="1"/>
  <c r="O185" i="1" s="1"/>
  <c r="F85" i="1"/>
  <c r="I64" i="1"/>
  <c r="M64" i="1" s="1"/>
  <c r="O64" i="1" s="1"/>
  <c r="I179" i="1"/>
  <c r="M179" i="1" s="1"/>
  <c r="O179" i="1" s="1"/>
  <c r="I218" i="1"/>
  <c r="M218" i="1" s="1"/>
  <c r="O218" i="1" s="1"/>
  <c r="I88" i="1"/>
  <c r="M88" i="1" s="1"/>
  <c r="O88" i="1" s="1"/>
  <c r="I219" i="1"/>
  <c r="M219" i="1" s="1"/>
  <c r="O219" i="1" s="1"/>
  <c r="I202" i="1"/>
  <c r="M202" i="1" s="1"/>
  <c r="O202" i="1" s="1"/>
  <c r="I122" i="1"/>
  <c r="M122" i="1" s="1"/>
  <c r="O122" i="1" s="1"/>
  <c r="I35" i="1"/>
  <c r="M35" i="1" s="1"/>
  <c r="O35" i="1" s="1"/>
  <c r="I167" i="1"/>
  <c r="M167" i="1" s="1"/>
  <c r="O167" i="1" s="1"/>
  <c r="I231" i="1"/>
  <c r="M231" i="1" s="1"/>
  <c r="O231" i="1" s="1"/>
  <c r="I241" i="1"/>
  <c r="I232" i="1"/>
  <c r="M232" i="1" s="1"/>
  <c r="O232" i="1" s="1"/>
  <c r="I200" i="1"/>
  <c r="M200" i="1" s="1"/>
  <c r="O200" i="1" s="1"/>
  <c r="I197" i="1"/>
  <c r="M197" i="1" s="1"/>
  <c r="O197" i="1" s="1"/>
  <c r="I238" i="1"/>
  <c r="I201" i="1"/>
  <c r="I215" i="1"/>
  <c r="M215" i="1" s="1"/>
  <c r="O215" i="1" s="1"/>
  <c r="I226" i="1"/>
  <c r="M226" i="1" s="1"/>
  <c r="O226" i="1" s="1"/>
  <c r="I228" i="1"/>
  <c r="M228" i="1" s="1"/>
  <c r="O228" i="1" s="1"/>
  <c r="I193" i="1"/>
  <c r="M193" i="1" s="1"/>
  <c r="O193" i="1" s="1"/>
  <c r="D96" i="1"/>
  <c r="T96" i="1" s="1"/>
  <c r="F73" i="1"/>
  <c r="F105" i="1"/>
  <c r="F103" i="1"/>
  <c r="F54" i="1"/>
  <c r="I139" i="1"/>
  <c r="M139" i="1" s="1"/>
  <c r="O139" i="1" s="1"/>
  <c r="F44" i="1"/>
  <c r="D119" i="1"/>
  <c r="T119" i="1" s="1"/>
  <c r="I110" i="1"/>
  <c r="M110" i="1" s="1"/>
  <c r="O110" i="1" s="1"/>
  <c r="F102" i="1"/>
  <c r="I36" i="1"/>
  <c r="M36" i="1" s="1"/>
  <c r="O36" i="1" s="1"/>
  <c r="D41" i="1"/>
  <c r="T41" i="1" s="1"/>
  <c r="I183" i="1"/>
  <c r="M183" i="1" s="1"/>
  <c r="O183" i="1" s="1"/>
  <c r="I66" i="1"/>
  <c r="M66" i="1" s="1"/>
  <c r="O66" i="1" s="1"/>
  <c r="F23" i="1"/>
  <c r="I119" i="1"/>
  <c r="M119" i="1" s="1"/>
  <c r="O119" i="1" s="1"/>
  <c r="F70" i="1"/>
  <c r="D86" i="1"/>
  <c r="T86" i="1" s="1"/>
  <c r="D72" i="1"/>
  <c r="T72" i="1" s="1"/>
  <c r="F8" i="1"/>
  <c r="F9" i="1"/>
  <c r="F135" i="1"/>
  <c r="D87" i="1"/>
  <c r="T87" i="1" s="1"/>
  <c r="D108" i="1"/>
  <c r="T108" i="1" s="1"/>
  <c r="I221" i="1"/>
  <c r="M221" i="1" s="1"/>
  <c r="O221" i="1" s="1"/>
  <c r="I87" i="1"/>
  <c r="M87" i="1" s="1"/>
  <c r="O87" i="1" s="1"/>
  <c r="D71" i="1"/>
  <c r="T71" i="1" s="1"/>
  <c r="I51" i="1"/>
  <c r="M51" i="1" s="1"/>
  <c r="O51" i="1" s="1"/>
  <c r="I155" i="1"/>
  <c r="M155" i="1" s="1"/>
  <c r="O155" i="1" s="1"/>
  <c r="I75" i="1"/>
  <c r="M75" i="1" s="1"/>
  <c r="O75" i="1" s="1"/>
  <c r="F89" i="1"/>
  <c r="I59" i="1"/>
  <c r="M59" i="1" s="1"/>
  <c r="O59" i="1" s="1"/>
  <c r="I49" i="1"/>
  <c r="M49" i="1" s="1"/>
  <c r="O49" i="1" s="1"/>
  <c r="D32" i="1"/>
  <c r="T32" i="1" s="1"/>
  <c r="I203" i="1"/>
  <c r="F118" i="1"/>
  <c r="I94" i="1"/>
  <c r="M94" i="1" s="1"/>
  <c r="O94" i="1" s="1"/>
  <c r="I222" i="1"/>
  <c r="M222" i="1" s="1"/>
  <c r="O222" i="1" s="1"/>
  <c r="I123" i="1"/>
  <c r="M123" i="1" s="1"/>
  <c r="O123" i="1" s="1"/>
  <c r="D57" i="1"/>
  <c r="T57" i="1" s="1"/>
  <c r="I171" i="1"/>
  <c r="M171" i="1" s="1"/>
  <c r="O171" i="1" s="1"/>
  <c r="I46" i="1"/>
  <c r="M46" i="1" s="1"/>
  <c r="O46" i="1" s="1"/>
  <c r="D22" i="1"/>
  <c r="T22" i="1" s="1"/>
  <c r="F20" i="1"/>
  <c r="F100" i="1"/>
  <c r="F38" i="1"/>
  <c r="D134" i="1"/>
  <c r="T134" i="1" s="1"/>
  <c r="F39" i="1"/>
  <c r="F25" i="1"/>
  <c r="I204" i="1"/>
  <c r="M204" i="1" s="1"/>
  <c r="O204" i="1" s="1"/>
  <c r="F121" i="1"/>
  <c r="I206" i="1"/>
  <c r="M206" i="1" s="1"/>
  <c r="O206" i="1" s="1"/>
  <c r="I53" i="1"/>
  <c r="M53" i="1" s="1"/>
  <c r="O53" i="1" s="1"/>
  <c r="D10" i="1"/>
  <c r="T10" i="1" s="1"/>
  <c r="I96" i="1"/>
  <c r="M96" i="1" s="1"/>
  <c r="O96" i="1" s="1"/>
  <c r="I134" i="1"/>
  <c r="M134" i="1" s="1"/>
  <c r="O134" i="1" s="1"/>
  <c r="I72" i="1"/>
  <c r="M72" i="1" s="1"/>
  <c r="O72" i="1" s="1"/>
  <c r="I159" i="1"/>
  <c r="I190" i="1"/>
  <c r="M190" i="1" s="1"/>
  <c r="O190" i="1" s="1"/>
  <c r="I166" i="1"/>
  <c r="M166" i="1" s="1"/>
  <c r="O166" i="1" s="1"/>
  <c r="I82" i="1"/>
  <c r="M82" i="1" s="1"/>
  <c r="O82" i="1" s="1"/>
  <c r="I71" i="1"/>
  <c r="M71" i="1" s="1"/>
  <c r="O71" i="1" s="1"/>
  <c r="I225" i="1"/>
  <c r="M225" i="1" s="1"/>
  <c r="O225" i="1" s="1"/>
  <c r="I41" i="1"/>
  <c r="M41" i="1" s="1"/>
  <c r="O41" i="1" s="1"/>
  <c r="I162" i="1"/>
  <c r="M162" i="1" s="1"/>
  <c r="O162" i="1" s="1"/>
  <c r="I146" i="1"/>
  <c r="M146" i="1" s="1"/>
  <c r="O146" i="1" s="1"/>
  <c r="I108" i="1"/>
  <c r="M108" i="1" s="1"/>
  <c r="O108" i="1" s="1"/>
  <c r="I175" i="1"/>
  <c r="M175" i="1" s="1"/>
  <c r="O175" i="1" s="1"/>
  <c r="I174" i="1"/>
  <c r="M174" i="1" s="1"/>
  <c r="O174" i="1" s="1"/>
  <c r="I142" i="1"/>
  <c r="M142" i="1" s="1"/>
  <c r="O142" i="1" s="1"/>
  <c r="I116" i="1"/>
  <c r="M116" i="1" s="1"/>
  <c r="O116" i="1" s="1"/>
  <c r="I80" i="1"/>
  <c r="M80" i="1" s="1"/>
  <c r="O80" i="1" s="1"/>
  <c r="I199" i="1"/>
  <c r="M199" i="1" s="1"/>
  <c r="O199" i="1" s="1"/>
  <c r="I153" i="1"/>
  <c r="M153" i="1" s="1"/>
  <c r="O153" i="1" s="1"/>
  <c r="I192" i="1"/>
  <c r="M192" i="1" s="1"/>
  <c r="O192" i="1" s="1"/>
  <c r="I168" i="1"/>
  <c r="M168" i="1" s="1"/>
  <c r="O168" i="1" s="1"/>
  <c r="I68" i="1"/>
  <c r="M68" i="1" s="1"/>
  <c r="O68" i="1" s="1"/>
  <c r="I191" i="1"/>
  <c r="I69" i="1"/>
  <c r="M69" i="1" s="1"/>
  <c r="O69" i="1" s="1"/>
  <c r="I114" i="1"/>
  <c r="M114" i="1" s="1"/>
  <c r="O114" i="1" s="1"/>
  <c r="I86" i="1"/>
  <c r="M86" i="1" s="1"/>
  <c r="O86" i="1" s="1"/>
  <c r="I55" i="1"/>
  <c r="M55" i="1" s="1"/>
  <c r="O55" i="1" s="1"/>
  <c r="I194" i="1"/>
  <c r="M194" i="1" s="1"/>
  <c r="O194" i="1" s="1"/>
  <c r="I163" i="1"/>
  <c r="M163" i="1" s="1"/>
  <c r="O163" i="1" s="1"/>
  <c r="I133" i="1"/>
  <c r="M133" i="1" s="1"/>
  <c r="O133" i="1" s="1"/>
  <c r="I143" i="1"/>
  <c r="M143" i="1" s="1"/>
  <c r="O143" i="1" s="1"/>
  <c r="I57" i="1"/>
  <c r="M57" i="1" s="1"/>
  <c r="O57" i="1" s="1"/>
  <c r="I158" i="1"/>
  <c r="M158" i="1" s="1"/>
  <c r="O158" i="1" s="1"/>
  <c r="I120" i="1"/>
  <c r="M120" i="1" s="1"/>
  <c r="O120" i="1" s="1"/>
  <c r="I99" i="1"/>
  <c r="M99" i="1" s="1"/>
  <c r="O99" i="1" s="1"/>
  <c r="F132" i="1"/>
  <c r="F196" i="1"/>
  <c r="D123" i="1"/>
  <c r="T123" i="1" s="1"/>
  <c r="D88" i="1"/>
  <c r="T88" i="1" s="1"/>
  <c r="F170" i="1"/>
  <c r="F173" i="1"/>
  <c r="U173" i="1" s="1"/>
  <c r="W173" i="1" s="1"/>
  <c r="D155" i="1"/>
  <c r="T155" i="1" s="1"/>
  <c r="F186" i="1"/>
  <c r="D216" i="1"/>
  <c r="T216" i="1" s="1"/>
  <c r="F205" i="1"/>
  <c r="D218" i="1"/>
  <c r="T218" i="1" s="1"/>
  <c r="D164" i="1"/>
  <c r="T164" i="1" s="1"/>
  <c r="F189" i="1"/>
  <c r="F27" i="1"/>
  <c r="U27" i="1" s="1"/>
  <c r="W27" i="1" s="1"/>
  <c r="F176" i="1"/>
  <c r="F77" i="1"/>
  <c r="D171" i="1"/>
  <c r="T171" i="1" s="1"/>
  <c r="D219" i="1"/>
  <c r="T219" i="1" s="1"/>
  <c r="D202" i="1"/>
  <c r="T202" i="1" s="1"/>
  <c r="F237" i="1"/>
  <c r="D221" i="1"/>
  <c r="T221" i="1" s="1"/>
  <c r="F187" i="1"/>
  <c r="F42" i="1"/>
  <c r="F152" i="1"/>
  <c r="F157" i="1"/>
  <c r="U157" i="1" s="1"/>
  <c r="W157" i="1" s="1"/>
  <c r="F141" i="1"/>
  <c r="U141" i="1" s="1"/>
  <c r="W141" i="1" s="1"/>
  <c r="F60" i="1"/>
  <c r="F240" i="1"/>
  <c r="D203" i="1"/>
  <c r="T203" i="1" s="1"/>
  <c r="F4" i="1"/>
  <c r="D24" i="1"/>
  <c r="T24" i="1" s="1"/>
  <c r="F124" i="1"/>
  <c r="D61" i="1"/>
  <c r="T61" i="1" s="1"/>
  <c r="F112" i="1"/>
  <c r="F48" i="1"/>
  <c r="U48" i="1" s="1"/>
  <c r="W48" i="1" s="1"/>
  <c r="F91" i="1"/>
  <c r="F43" i="1"/>
  <c r="D26" i="1"/>
  <c r="T26" i="1" s="1"/>
  <c r="F125" i="1"/>
  <c r="F106" i="1"/>
  <c r="F7" i="1"/>
  <c r="D90" i="1"/>
  <c r="T90" i="1" s="1"/>
  <c r="F84" i="1"/>
  <c r="U84" i="1" s="1"/>
  <c r="W84" i="1" s="1"/>
  <c r="F74" i="1"/>
  <c r="D75" i="1"/>
  <c r="T75" i="1" s="1"/>
  <c r="D58" i="1"/>
  <c r="T58" i="1" s="1"/>
  <c r="F109" i="1"/>
  <c r="F93" i="1"/>
  <c r="D6" i="1"/>
  <c r="T6" i="1" s="1"/>
  <c r="F29" i="1"/>
  <c r="U29" i="1" s="1"/>
  <c r="W29" i="1" s="1"/>
  <c r="D122" i="1"/>
  <c r="T122" i="1" s="1"/>
  <c r="D94" i="1"/>
  <c r="T94" i="1" s="1"/>
  <c r="D46" i="1"/>
  <c r="T46" i="1" s="1"/>
  <c r="F78" i="1"/>
  <c r="D14" i="1"/>
  <c r="T14" i="1" s="1"/>
  <c r="F5" i="1"/>
  <c r="F104" i="1"/>
  <c r="U104" i="1" s="1"/>
  <c r="W104" i="1" s="1"/>
  <c r="D111" i="1"/>
  <c r="T111" i="1" s="1"/>
  <c r="D95" i="1"/>
  <c r="T95" i="1" s="1"/>
  <c r="F62" i="1"/>
  <c r="F31" i="1"/>
  <c r="U31" i="1" s="1"/>
  <c r="W31" i="1" s="1"/>
  <c r="F33" i="1"/>
  <c r="U33" i="1" s="1"/>
  <c r="W33" i="1" s="1"/>
  <c r="F40" i="1"/>
  <c r="F79" i="1"/>
  <c r="F76" i="1"/>
  <c r="U76" i="1" s="1"/>
  <c r="W76" i="1" s="1"/>
  <c r="F65" i="1"/>
  <c r="D49" i="1"/>
  <c r="T49" i="1" s="1"/>
  <c r="D64" i="1"/>
  <c r="T64" i="1" s="1"/>
  <c r="F128" i="1"/>
  <c r="U128" i="1" s="1"/>
  <c r="W128" i="1" s="1"/>
  <c r="D63" i="1"/>
  <c r="T63" i="1" s="1"/>
  <c r="D110" i="1"/>
  <c r="T110" i="1" s="1"/>
  <c r="F126" i="1"/>
  <c r="U126" i="1" s="1"/>
  <c r="W126" i="1" s="1"/>
  <c r="F127" i="1"/>
  <c r="U127" i="1" s="1"/>
  <c r="W127" i="1" s="1"/>
  <c r="F30" i="1"/>
  <c r="D15" i="1"/>
  <c r="T15" i="1" s="1"/>
  <c r="F81" i="1"/>
  <c r="U81" i="1" s="1"/>
  <c r="W81" i="1" s="1"/>
  <c r="D17" i="1"/>
  <c r="T17" i="1" s="1"/>
  <c r="D36" i="1"/>
  <c r="T36" i="1" s="1"/>
  <c r="F129" i="1"/>
  <c r="AQ45" i="14" l="1"/>
  <c r="AP45" i="14"/>
  <c r="AR43" i="14" a="1"/>
  <c r="AR43" i="14" s="1"/>
  <c r="I79" i="1"/>
  <c r="U79" i="1"/>
  <c r="W79" i="1" s="1"/>
  <c r="I62" i="1"/>
  <c r="U62" i="1"/>
  <c r="W62" i="1" s="1"/>
  <c r="I5" i="1"/>
  <c r="U5" i="1"/>
  <c r="W5" i="1" s="1"/>
  <c r="I93" i="1"/>
  <c r="U93" i="1"/>
  <c r="W93" i="1" s="1"/>
  <c r="I74" i="1"/>
  <c r="U74" i="1"/>
  <c r="W74" i="1" s="1"/>
  <c r="I106" i="1"/>
  <c r="U106" i="1"/>
  <c r="W106" i="1" s="1"/>
  <c r="I91" i="1"/>
  <c r="U91" i="1"/>
  <c r="W91" i="1" s="1"/>
  <c r="I124" i="1"/>
  <c r="U124" i="1"/>
  <c r="W124" i="1" s="1"/>
  <c r="I240" i="1"/>
  <c r="U240" i="1"/>
  <c r="W240" i="1" s="1"/>
  <c r="I152" i="1"/>
  <c r="U152" i="1"/>
  <c r="W152" i="1" s="1"/>
  <c r="I237" i="1"/>
  <c r="U237" i="1"/>
  <c r="W237" i="1" s="1"/>
  <c r="I77" i="1"/>
  <c r="U77" i="1"/>
  <c r="W77" i="1" s="1"/>
  <c r="I186" i="1"/>
  <c r="M186" i="1" s="1"/>
  <c r="O186" i="1" s="1"/>
  <c r="U186" i="1"/>
  <c r="W186" i="1" s="1"/>
  <c r="I38" i="1"/>
  <c r="U38" i="1"/>
  <c r="W38" i="1" s="1"/>
  <c r="I135" i="1"/>
  <c r="M135" i="1" s="1"/>
  <c r="O135" i="1" s="1"/>
  <c r="U135" i="1"/>
  <c r="W135" i="1" s="1"/>
  <c r="I102" i="1"/>
  <c r="M102" i="1" s="1"/>
  <c r="O102" i="1" s="1"/>
  <c r="U102" i="1"/>
  <c r="W102" i="1" s="1"/>
  <c r="I73" i="1"/>
  <c r="M73" i="1" s="1"/>
  <c r="O73" i="1" s="1"/>
  <c r="U73" i="1"/>
  <c r="W73" i="1" s="1"/>
  <c r="I56" i="1"/>
  <c r="M56" i="1" s="1"/>
  <c r="O56" i="1" s="1"/>
  <c r="U56" i="1"/>
  <c r="W56" i="1" s="1"/>
  <c r="I117" i="1"/>
  <c r="M117" i="1" s="1"/>
  <c r="O117" i="1" s="1"/>
  <c r="U117" i="1"/>
  <c r="W117" i="1" s="1"/>
  <c r="I156" i="1"/>
  <c r="M156" i="1" s="1"/>
  <c r="O156" i="1" s="1"/>
  <c r="U156" i="1"/>
  <c r="W156" i="1" s="1"/>
  <c r="I165" i="1"/>
  <c r="M165" i="1" s="1"/>
  <c r="O165" i="1" s="1"/>
  <c r="U165" i="1"/>
  <c r="W165" i="1" s="1"/>
  <c r="I147" i="1"/>
  <c r="M147" i="1" s="1"/>
  <c r="O147" i="1" s="1"/>
  <c r="U147" i="1"/>
  <c r="W147" i="1" s="1"/>
  <c r="I178" i="1"/>
  <c r="U178" i="1"/>
  <c r="W178" i="1" s="1"/>
  <c r="I195" i="1"/>
  <c r="M195" i="1" s="1"/>
  <c r="O195" i="1" s="1"/>
  <c r="U195" i="1"/>
  <c r="W195" i="1" s="1"/>
  <c r="I83" i="1"/>
  <c r="M83" i="1" s="1"/>
  <c r="O83" i="1" s="1"/>
  <c r="U83" i="1"/>
  <c r="W83" i="1" s="1"/>
  <c r="I149" i="1"/>
  <c r="M149" i="1" s="1"/>
  <c r="O149" i="1" s="1"/>
  <c r="U149" i="1"/>
  <c r="W149" i="1" s="1"/>
  <c r="I52" i="1"/>
  <c r="M52" i="1" s="1"/>
  <c r="O52" i="1" s="1"/>
  <c r="U52" i="1"/>
  <c r="W52" i="1" s="1"/>
  <c r="I154" i="1"/>
  <c r="M154" i="1" s="1"/>
  <c r="O154" i="1" s="1"/>
  <c r="U154" i="1"/>
  <c r="W154" i="1" s="1"/>
  <c r="I150" i="1"/>
  <c r="M150" i="1" s="1"/>
  <c r="O150" i="1" s="1"/>
  <c r="U150" i="1"/>
  <c r="W150" i="1" s="1"/>
  <c r="I217" i="1"/>
  <c r="J217" i="1" s="1"/>
  <c r="U217" i="1"/>
  <c r="W217" i="1" s="1"/>
  <c r="I248" i="1"/>
  <c r="J248" i="1" s="1"/>
  <c r="U248" i="1"/>
  <c r="W248" i="1" s="1"/>
  <c r="I224" i="1"/>
  <c r="M224" i="1" s="1"/>
  <c r="O224" i="1" s="1"/>
  <c r="U224" i="1"/>
  <c r="W224" i="1" s="1"/>
  <c r="I236" i="1"/>
  <c r="M236" i="1" s="1"/>
  <c r="O236" i="1" s="1"/>
  <c r="U236" i="1"/>
  <c r="W236" i="1" s="1"/>
  <c r="I172" i="1"/>
  <c r="M172" i="1" s="1"/>
  <c r="O172" i="1" s="1"/>
  <c r="U172" i="1"/>
  <c r="W172" i="1" s="1"/>
  <c r="I274" i="1"/>
  <c r="J274" i="1" s="1"/>
  <c r="U274" i="1"/>
  <c r="W274" i="1" s="1"/>
  <c r="I151" i="1"/>
  <c r="M151" i="1" s="1"/>
  <c r="O151" i="1" s="1"/>
  <c r="U151" i="1"/>
  <c r="W151" i="1" s="1"/>
  <c r="I223" i="1"/>
  <c r="M223" i="1" s="1"/>
  <c r="O223" i="1" s="1"/>
  <c r="U223" i="1"/>
  <c r="W223" i="1" s="1"/>
  <c r="I26" i="1"/>
  <c r="M26" i="1" s="1"/>
  <c r="U26" i="1"/>
  <c r="W26" i="1" s="1"/>
  <c r="I220" i="1"/>
  <c r="M220" i="1" s="1"/>
  <c r="O220" i="1" s="1"/>
  <c r="U220" i="1"/>
  <c r="W220" i="1" s="1"/>
  <c r="I40" i="1"/>
  <c r="M40" i="1" s="1"/>
  <c r="O40" i="1" s="1"/>
  <c r="U40" i="1"/>
  <c r="W40" i="1" s="1"/>
  <c r="I109" i="1"/>
  <c r="M109" i="1" s="1"/>
  <c r="O109" i="1" s="1"/>
  <c r="U109" i="1"/>
  <c r="W109" i="1" s="1"/>
  <c r="I125" i="1"/>
  <c r="M125" i="1" s="1"/>
  <c r="O125" i="1" s="1"/>
  <c r="U125" i="1"/>
  <c r="W125" i="1" s="1"/>
  <c r="I60" i="1"/>
  <c r="J61" i="1" s="1"/>
  <c r="U60" i="1"/>
  <c r="W60" i="1" s="1"/>
  <c r="I42" i="1"/>
  <c r="M42" i="1" s="1"/>
  <c r="O42" i="1" s="1"/>
  <c r="U42" i="1"/>
  <c r="W42" i="1" s="1"/>
  <c r="I176" i="1"/>
  <c r="M176" i="1" s="1"/>
  <c r="O176" i="1" s="1"/>
  <c r="U176" i="1"/>
  <c r="W176" i="1" s="1"/>
  <c r="I25" i="1"/>
  <c r="M25" i="1" s="1"/>
  <c r="U25" i="1"/>
  <c r="W25" i="1" s="1"/>
  <c r="I100" i="1"/>
  <c r="M100" i="1" s="1"/>
  <c r="O100" i="1" s="1"/>
  <c r="U100" i="1"/>
  <c r="W100" i="1" s="1"/>
  <c r="I9" i="1"/>
  <c r="M9" i="1" s="1"/>
  <c r="U9" i="1"/>
  <c r="W9" i="1" s="1"/>
  <c r="I70" i="1"/>
  <c r="M70" i="1" s="1"/>
  <c r="O70" i="1" s="1"/>
  <c r="U70" i="1"/>
  <c r="W70" i="1" s="1"/>
  <c r="I54" i="1"/>
  <c r="M54" i="1" s="1"/>
  <c r="O54" i="1" s="1"/>
  <c r="U54" i="1"/>
  <c r="W54" i="1" s="1"/>
  <c r="I130" i="1"/>
  <c r="M130" i="1" s="1"/>
  <c r="O130" i="1" s="1"/>
  <c r="U130" i="1"/>
  <c r="W130" i="1" s="1"/>
  <c r="I67" i="1"/>
  <c r="M67" i="1" s="1"/>
  <c r="O67" i="1" s="1"/>
  <c r="U67" i="1"/>
  <c r="W67" i="1" s="1"/>
  <c r="I180" i="1"/>
  <c r="M180" i="1" s="1"/>
  <c r="O180" i="1" s="1"/>
  <c r="U180" i="1"/>
  <c r="W180" i="1" s="1"/>
  <c r="I21" i="1"/>
  <c r="M21" i="1" s="1"/>
  <c r="U21" i="1"/>
  <c r="W21" i="1" s="1"/>
  <c r="I12" i="1"/>
  <c r="M12" i="1" s="1"/>
  <c r="U12" i="1"/>
  <c r="W12" i="1" s="1"/>
  <c r="I212" i="1"/>
  <c r="M212" i="1" s="1"/>
  <c r="O212" i="1" s="1"/>
  <c r="U212" i="1"/>
  <c r="W212" i="1" s="1"/>
  <c r="I16" i="1"/>
  <c r="M16" i="1" s="1"/>
  <c r="U16" i="1"/>
  <c r="W16" i="1" s="1"/>
  <c r="I97" i="1"/>
  <c r="M97" i="1" s="1"/>
  <c r="O97" i="1" s="1"/>
  <c r="U97" i="1"/>
  <c r="W97" i="1" s="1"/>
  <c r="I188" i="1"/>
  <c r="M188" i="1" s="1"/>
  <c r="O188" i="1" s="1"/>
  <c r="U188" i="1"/>
  <c r="W188" i="1" s="1"/>
  <c r="I45" i="1"/>
  <c r="M45" i="1" s="1"/>
  <c r="O45" i="1" s="1"/>
  <c r="U45" i="1"/>
  <c r="W45" i="1" s="1"/>
  <c r="I177" i="1"/>
  <c r="M177" i="1" s="1"/>
  <c r="O177" i="1" s="1"/>
  <c r="U177" i="1"/>
  <c r="W177" i="1" s="1"/>
  <c r="I140" i="1"/>
  <c r="M140" i="1" s="1"/>
  <c r="O140" i="1" s="1"/>
  <c r="U140" i="1"/>
  <c r="W140" i="1" s="1"/>
  <c r="I252" i="1"/>
  <c r="U252" i="1"/>
  <c r="W252" i="1" s="1"/>
  <c r="I233" i="1"/>
  <c r="M233" i="1" s="1"/>
  <c r="O233" i="1" s="1"/>
  <c r="U233" i="1"/>
  <c r="W233" i="1" s="1"/>
  <c r="I244" i="1"/>
  <c r="M244" i="1" s="1"/>
  <c r="O244" i="1" s="1"/>
  <c r="U244" i="1"/>
  <c r="W244" i="1" s="1"/>
  <c r="I11" i="1"/>
  <c r="M11" i="1" s="1"/>
  <c r="U11" i="1"/>
  <c r="W11" i="1" s="1"/>
  <c r="I268" i="1"/>
  <c r="J268" i="1" s="1"/>
  <c r="U268" i="1"/>
  <c r="W268" i="1" s="1"/>
  <c r="I182" i="1"/>
  <c r="M182" i="1" s="1"/>
  <c r="O182" i="1" s="1"/>
  <c r="U182" i="1"/>
  <c r="W182" i="1" s="1"/>
  <c r="I249" i="1"/>
  <c r="M249" i="1" s="1"/>
  <c r="O249" i="1" s="1"/>
  <c r="U249" i="1"/>
  <c r="W249" i="1" s="1"/>
  <c r="I255" i="1"/>
  <c r="M255" i="1" s="1"/>
  <c r="O255" i="1" s="1"/>
  <c r="U255" i="1"/>
  <c r="W255" i="1" s="1"/>
  <c r="I239" i="1"/>
  <c r="M239" i="1" s="1"/>
  <c r="O239" i="1" s="1"/>
  <c r="U239" i="1"/>
  <c r="W239" i="1" s="1"/>
  <c r="I113" i="1"/>
  <c r="M113" i="1" s="1"/>
  <c r="O113" i="1" s="1"/>
  <c r="U113" i="1"/>
  <c r="W113" i="1" s="1"/>
  <c r="I227" i="1"/>
  <c r="M227" i="1" s="1"/>
  <c r="O227" i="1" s="1"/>
  <c r="U227" i="1"/>
  <c r="W227" i="1" s="1"/>
  <c r="I22" i="1"/>
  <c r="M22" i="1" s="1"/>
  <c r="U22" i="1"/>
  <c r="W22" i="1" s="1"/>
  <c r="I32" i="1"/>
  <c r="M32" i="1" s="1"/>
  <c r="U32" i="1"/>
  <c r="W32" i="1" s="1"/>
  <c r="I6" i="1"/>
  <c r="M6" i="1" s="1"/>
  <c r="U6" i="1"/>
  <c r="W6" i="1" s="1"/>
  <c r="I18" i="1"/>
  <c r="M18" i="1" s="1"/>
  <c r="U18" i="1"/>
  <c r="W18" i="1" s="1"/>
  <c r="I15" i="1"/>
  <c r="M15" i="1" s="1"/>
  <c r="U15" i="1"/>
  <c r="W15" i="1" s="1"/>
  <c r="I13" i="1"/>
  <c r="M13" i="1" s="1"/>
  <c r="U13" i="1"/>
  <c r="W13" i="1" s="1"/>
  <c r="I229" i="1"/>
  <c r="M229" i="1" s="1"/>
  <c r="O229" i="1" s="1"/>
  <c r="U229" i="1"/>
  <c r="W229" i="1" s="1"/>
  <c r="I129" i="1"/>
  <c r="J130" i="1" s="1"/>
  <c r="U129" i="1"/>
  <c r="W129" i="1" s="1"/>
  <c r="I30" i="1"/>
  <c r="M30" i="1" s="1"/>
  <c r="U30" i="1"/>
  <c r="W30" i="1" s="1"/>
  <c r="I65" i="1"/>
  <c r="M65" i="1" s="1"/>
  <c r="O65" i="1" s="1"/>
  <c r="U65" i="1"/>
  <c r="W65" i="1" s="1"/>
  <c r="I78" i="1"/>
  <c r="M78" i="1" s="1"/>
  <c r="O78" i="1" s="1"/>
  <c r="U78" i="1"/>
  <c r="W78" i="1" s="1"/>
  <c r="I112" i="1"/>
  <c r="M112" i="1" s="1"/>
  <c r="O112" i="1" s="1"/>
  <c r="U112" i="1"/>
  <c r="W112" i="1" s="1"/>
  <c r="I4" i="1"/>
  <c r="M4" i="1" s="1"/>
  <c r="U4" i="1"/>
  <c r="W4" i="1" s="1"/>
  <c r="I187" i="1"/>
  <c r="J187" i="1" s="1"/>
  <c r="U187" i="1"/>
  <c r="W187" i="1" s="1"/>
  <c r="I205" i="1"/>
  <c r="M205" i="1" s="1"/>
  <c r="O205" i="1" s="1"/>
  <c r="U205" i="1"/>
  <c r="W205" i="1" s="1"/>
  <c r="I196" i="1"/>
  <c r="M196" i="1" s="1"/>
  <c r="O196" i="1" s="1"/>
  <c r="U196" i="1"/>
  <c r="W196" i="1" s="1"/>
  <c r="I39" i="1"/>
  <c r="J39" i="1" s="1"/>
  <c r="U39" i="1"/>
  <c r="W39" i="1" s="1"/>
  <c r="I20" i="1"/>
  <c r="M20" i="1" s="1"/>
  <c r="U20" i="1"/>
  <c r="W20" i="1" s="1"/>
  <c r="I118" i="1"/>
  <c r="M118" i="1" s="1"/>
  <c r="O118" i="1" s="1"/>
  <c r="U118" i="1"/>
  <c r="W118" i="1" s="1"/>
  <c r="I8" i="1"/>
  <c r="M8" i="1" s="1"/>
  <c r="U8" i="1"/>
  <c r="W8" i="1" s="1"/>
  <c r="I103" i="1"/>
  <c r="M103" i="1" s="1"/>
  <c r="O103" i="1" s="1"/>
  <c r="U103" i="1"/>
  <c r="W103" i="1" s="1"/>
  <c r="I85" i="1"/>
  <c r="M85" i="1" s="1"/>
  <c r="O85" i="1" s="1"/>
  <c r="U85" i="1"/>
  <c r="W85" i="1" s="1"/>
  <c r="I131" i="1"/>
  <c r="M131" i="1" s="1"/>
  <c r="O131" i="1" s="1"/>
  <c r="U131" i="1"/>
  <c r="W131" i="1" s="1"/>
  <c r="I101" i="1"/>
  <c r="M101" i="1" s="1"/>
  <c r="O101" i="1" s="1"/>
  <c r="U101" i="1"/>
  <c r="W101" i="1" s="1"/>
  <c r="I34" i="1"/>
  <c r="M34" i="1" s="1"/>
  <c r="O34" i="1" s="1"/>
  <c r="U34" i="1"/>
  <c r="W34" i="1" s="1"/>
  <c r="I115" i="1"/>
  <c r="M115" i="1" s="1"/>
  <c r="O115" i="1" s="1"/>
  <c r="U115" i="1"/>
  <c r="W115" i="1" s="1"/>
  <c r="I148" i="1"/>
  <c r="M148" i="1" s="1"/>
  <c r="O148" i="1" s="1"/>
  <c r="U148" i="1"/>
  <c r="W148" i="1" s="1"/>
  <c r="I50" i="1"/>
  <c r="M50" i="1" s="1"/>
  <c r="O50" i="1" s="1"/>
  <c r="U50" i="1"/>
  <c r="W50" i="1" s="1"/>
  <c r="I208" i="1"/>
  <c r="M208" i="1" s="1"/>
  <c r="O208" i="1" s="1"/>
  <c r="U208" i="1"/>
  <c r="W208" i="1" s="1"/>
  <c r="I213" i="1"/>
  <c r="M213" i="1" s="1"/>
  <c r="O213" i="1" s="1"/>
  <c r="U213" i="1"/>
  <c r="W213" i="1" s="1"/>
  <c r="I210" i="1"/>
  <c r="M210" i="1" s="1"/>
  <c r="O210" i="1" s="1"/>
  <c r="U210" i="1"/>
  <c r="W210" i="1" s="1"/>
  <c r="I144" i="1"/>
  <c r="M144" i="1" s="1"/>
  <c r="O144" i="1" s="1"/>
  <c r="U144" i="1"/>
  <c r="W144" i="1" s="1"/>
  <c r="I145" i="1"/>
  <c r="M145" i="1" s="1"/>
  <c r="O145" i="1" s="1"/>
  <c r="U145" i="1"/>
  <c r="W145" i="1" s="1"/>
  <c r="I138" i="1"/>
  <c r="M138" i="1" s="1"/>
  <c r="O138" i="1" s="1"/>
  <c r="U138" i="1"/>
  <c r="W138" i="1" s="1"/>
  <c r="I161" i="1"/>
  <c r="J162" i="1" s="1"/>
  <c r="U161" i="1"/>
  <c r="W161" i="1" s="1"/>
  <c r="I260" i="1"/>
  <c r="J260" i="1" s="1"/>
  <c r="U260" i="1"/>
  <c r="W260" i="1" s="1"/>
  <c r="I235" i="1"/>
  <c r="M235" i="1" s="1"/>
  <c r="O235" i="1" s="1"/>
  <c r="U235" i="1"/>
  <c r="W235" i="1" s="1"/>
  <c r="I209" i="1"/>
  <c r="M209" i="1" s="1"/>
  <c r="O209" i="1" s="1"/>
  <c r="U209" i="1"/>
  <c r="W209" i="1" s="1"/>
  <c r="I10" i="1"/>
  <c r="M10" i="1" s="1"/>
  <c r="U10" i="1"/>
  <c r="W10" i="1" s="1"/>
  <c r="I17" i="1"/>
  <c r="M17" i="1" s="1"/>
  <c r="U17" i="1"/>
  <c r="W17" i="1" s="1"/>
  <c r="I19" i="1"/>
  <c r="M19" i="1" s="1"/>
  <c r="U19" i="1"/>
  <c r="W19" i="1" s="1"/>
  <c r="I7" i="1"/>
  <c r="M7" i="1" s="1"/>
  <c r="U7" i="1"/>
  <c r="W7" i="1" s="1"/>
  <c r="I43" i="1"/>
  <c r="J43" i="1" s="1"/>
  <c r="U43" i="1"/>
  <c r="W43" i="1" s="1"/>
  <c r="I189" i="1"/>
  <c r="M189" i="1" s="1"/>
  <c r="O189" i="1" s="1"/>
  <c r="U189" i="1"/>
  <c r="W189" i="1" s="1"/>
  <c r="I170" i="1"/>
  <c r="J170" i="1" s="1"/>
  <c r="U170" i="1"/>
  <c r="W170" i="1" s="1"/>
  <c r="I132" i="1"/>
  <c r="J133" i="1" s="1"/>
  <c r="U132" i="1"/>
  <c r="W132" i="1" s="1"/>
  <c r="I121" i="1"/>
  <c r="J121" i="1" s="1"/>
  <c r="U121" i="1"/>
  <c r="W121" i="1" s="1"/>
  <c r="I89" i="1"/>
  <c r="M89" i="1" s="1"/>
  <c r="O89" i="1" s="1"/>
  <c r="U89" i="1"/>
  <c r="W89" i="1" s="1"/>
  <c r="I23" i="1"/>
  <c r="M23" i="1" s="1"/>
  <c r="U23" i="1"/>
  <c r="W23" i="1" s="1"/>
  <c r="I44" i="1"/>
  <c r="M44" i="1" s="1"/>
  <c r="O44" i="1" s="1"/>
  <c r="U44" i="1"/>
  <c r="W44" i="1" s="1"/>
  <c r="I105" i="1"/>
  <c r="M105" i="1" s="1"/>
  <c r="O105" i="1" s="1"/>
  <c r="U105" i="1"/>
  <c r="W105" i="1" s="1"/>
  <c r="I184" i="1"/>
  <c r="M184" i="1" s="1"/>
  <c r="O184" i="1" s="1"/>
  <c r="U184" i="1"/>
  <c r="W184" i="1" s="1"/>
  <c r="I98" i="1"/>
  <c r="M98" i="1" s="1"/>
  <c r="O98" i="1" s="1"/>
  <c r="U98" i="1"/>
  <c r="W98" i="1" s="1"/>
  <c r="I181" i="1"/>
  <c r="M181" i="1" s="1"/>
  <c r="O181" i="1" s="1"/>
  <c r="U181" i="1"/>
  <c r="W181" i="1" s="1"/>
  <c r="I92" i="1"/>
  <c r="M92" i="1" s="1"/>
  <c r="O92" i="1" s="1"/>
  <c r="U92" i="1"/>
  <c r="W92" i="1" s="1"/>
  <c r="I37" i="1"/>
  <c r="M37" i="1" s="1"/>
  <c r="O37" i="1" s="1"/>
  <c r="U37" i="1"/>
  <c r="W37" i="1" s="1"/>
  <c r="I107" i="1"/>
  <c r="J107" i="1" s="1"/>
  <c r="U107" i="1"/>
  <c r="W107" i="1" s="1"/>
  <c r="I253" i="1"/>
  <c r="J253" i="1" s="1"/>
  <c r="U253" i="1"/>
  <c r="W253" i="1" s="1"/>
  <c r="I160" i="1"/>
  <c r="M160" i="1" s="1"/>
  <c r="O160" i="1" s="1"/>
  <c r="U160" i="1"/>
  <c r="W160" i="1" s="1"/>
  <c r="I257" i="1"/>
  <c r="J258" i="1" s="1"/>
  <c r="U257" i="1"/>
  <c r="W257" i="1" s="1"/>
  <c r="I198" i="1"/>
  <c r="M198" i="1" s="1"/>
  <c r="O198" i="1" s="1"/>
  <c r="U198" i="1"/>
  <c r="W198" i="1" s="1"/>
  <c r="I214" i="1"/>
  <c r="M214" i="1" s="1"/>
  <c r="O214" i="1" s="1"/>
  <c r="U214" i="1"/>
  <c r="W214" i="1" s="1"/>
  <c r="I136" i="1"/>
  <c r="M136" i="1" s="1"/>
  <c r="O136" i="1" s="1"/>
  <c r="U136" i="1"/>
  <c r="W136" i="1" s="1"/>
  <c r="I137" i="1"/>
  <c r="M137" i="1" s="1"/>
  <c r="O137" i="1" s="1"/>
  <c r="U137" i="1"/>
  <c r="W137" i="1" s="1"/>
  <c r="I234" i="1"/>
  <c r="M234" i="1" s="1"/>
  <c r="O234" i="1" s="1"/>
  <c r="U234" i="1"/>
  <c r="W234" i="1" s="1"/>
  <c r="I256" i="1"/>
  <c r="M256" i="1" s="1"/>
  <c r="O256" i="1" s="1"/>
  <c r="U256" i="1"/>
  <c r="W256" i="1" s="1"/>
  <c r="I28" i="1"/>
  <c r="M28" i="1" s="1"/>
  <c r="U28" i="1"/>
  <c r="W28" i="1" s="1"/>
  <c r="I24" i="1"/>
  <c r="M24" i="1" s="1"/>
  <c r="U24" i="1"/>
  <c r="W24" i="1" s="1"/>
  <c r="I14" i="1"/>
  <c r="M14" i="1" s="1"/>
  <c r="U14" i="1"/>
  <c r="W14" i="1" s="1"/>
  <c r="J242" i="1"/>
  <c r="M241" i="1"/>
  <c r="O241" i="1" s="1"/>
  <c r="J263" i="1"/>
  <c r="J91" i="1"/>
  <c r="J255" i="1"/>
  <c r="J284" i="1"/>
  <c r="J267" i="1"/>
  <c r="J280" i="1"/>
  <c r="J281" i="1"/>
  <c r="M268" i="1"/>
  <c r="O268" i="1" s="1"/>
  <c r="M248" i="1"/>
  <c r="O248" i="1" s="1"/>
  <c r="J246" i="1"/>
  <c r="M246" i="1"/>
  <c r="O246" i="1" s="1"/>
  <c r="J264" i="1"/>
  <c r="M264" i="1"/>
  <c r="O264" i="1" s="1"/>
  <c r="M253" i="1"/>
  <c r="O253" i="1" s="1"/>
  <c r="J247" i="1"/>
  <c r="M247" i="1"/>
  <c r="O247" i="1" s="1"/>
  <c r="M258" i="1"/>
  <c r="O258" i="1" s="1"/>
  <c r="M274" i="1"/>
  <c r="O274" i="1" s="1"/>
  <c r="J252" i="1"/>
  <c r="M252" i="1"/>
  <c r="O252" i="1" s="1"/>
  <c r="M238" i="1"/>
  <c r="O238" i="1" s="1"/>
  <c r="M250" i="1"/>
  <c r="O250" i="1" s="1"/>
  <c r="J277" i="1"/>
  <c r="M277" i="1"/>
  <c r="O277" i="1" s="1"/>
  <c r="J266" i="1"/>
  <c r="J265" i="1"/>
  <c r="M265" i="1"/>
  <c r="O265" i="1" s="1"/>
  <c r="J276" i="1"/>
  <c r="M276" i="1"/>
  <c r="O276" i="1" s="1"/>
  <c r="J203" i="1"/>
  <c r="M260" i="1"/>
  <c r="O260" i="1" s="1"/>
  <c r="M257" i="1"/>
  <c r="O257" i="1" s="1"/>
  <c r="J259" i="1"/>
  <c r="M259" i="1"/>
  <c r="O259" i="1" s="1"/>
  <c r="M278" i="1"/>
  <c r="O278" i="1" s="1"/>
  <c r="J278" i="1"/>
  <c r="J275" i="1"/>
  <c r="M275" i="1"/>
  <c r="O275" i="1" s="1"/>
  <c r="J262" i="1"/>
  <c r="M262" i="1"/>
  <c r="O262" i="1" s="1"/>
  <c r="J271" i="1"/>
  <c r="M271" i="1"/>
  <c r="O271" i="1" s="1"/>
  <c r="J272" i="1"/>
  <c r="M272" i="1"/>
  <c r="O272" i="1" s="1"/>
  <c r="J279" i="1"/>
  <c r="M279" i="1"/>
  <c r="O279" i="1" s="1"/>
  <c r="M270" i="1"/>
  <c r="O270" i="1" s="1"/>
  <c r="J270" i="1"/>
  <c r="J251" i="1"/>
  <c r="J273" i="1"/>
  <c r="J201" i="1"/>
  <c r="J243" i="1"/>
  <c r="J179" i="1"/>
  <c r="J222" i="1"/>
  <c r="M178" i="1"/>
  <c r="O178" i="1" s="1"/>
  <c r="J64" i="1"/>
  <c r="J57" i="1"/>
  <c r="M159" i="1"/>
  <c r="O159" i="1" s="1"/>
  <c r="M203" i="1"/>
  <c r="O203" i="1" s="1"/>
  <c r="J226" i="1"/>
  <c r="M201" i="1"/>
  <c r="O201" i="1" s="1"/>
  <c r="J219" i="1"/>
  <c r="J202" i="1"/>
  <c r="J117" i="1"/>
  <c r="J165" i="1"/>
  <c r="J163" i="1"/>
  <c r="J192" i="1"/>
  <c r="J150" i="1"/>
  <c r="M191" i="1"/>
  <c r="O191" i="1" s="1"/>
  <c r="J195" i="1"/>
  <c r="J176" i="1"/>
  <c r="J155" i="1"/>
  <c r="M38" i="1"/>
  <c r="O38" i="1" s="1"/>
  <c r="J47" i="1"/>
  <c r="J191" i="1"/>
  <c r="M124" i="1"/>
  <c r="O124" i="1" s="1"/>
  <c r="J124" i="1"/>
  <c r="M79" i="1"/>
  <c r="O79" i="1" s="1"/>
  <c r="J80" i="1"/>
  <c r="I29" i="1"/>
  <c r="M29" i="1" s="1"/>
  <c r="I84" i="1"/>
  <c r="M84" i="1" s="1"/>
  <c r="O84" i="1" s="1"/>
  <c r="I128" i="1"/>
  <c r="M128" i="1" s="1"/>
  <c r="O128" i="1" s="1"/>
  <c r="I81" i="1"/>
  <c r="M81" i="1" s="1"/>
  <c r="O81" i="1" s="1"/>
  <c r="M152" i="1"/>
  <c r="O152" i="1" s="1"/>
  <c r="I104" i="1"/>
  <c r="I157" i="1"/>
  <c r="J158" i="1" s="1"/>
  <c r="I141" i="1"/>
  <c r="M141" i="1" s="1"/>
  <c r="O141" i="1" s="1"/>
  <c r="M5" i="1"/>
  <c r="M91" i="1"/>
  <c r="O91" i="1" s="1"/>
  <c r="I173" i="1"/>
  <c r="M173" i="1" s="1"/>
  <c r="O173" i="1" s="1"/>
  <c r="I27" i="1"/>
  <c r="M27" i="1" s="1"/>
  <c r="I127" i="1"/>
  <c r="M127" i="1" s="1"/>
  <c r="O127" i="1" s="1"/>
  <c r="M93" i="1"/>
  <c r="O93" i="1" s="1"/>
  <c r="M74" i="1"/>
  <c r="O74" i="1" s="1"/>
  <c r="I76" i="1"/>
  <c r="M76" i="1" s="1"/>
  <c r="O76" i="1" s="1"/>
  <c r="I33" i="1"/>
  <c r="I31" i="1"/>
  <c r="M31" i="1" s="1"/>
  <c r="I126" i="1"/>
  <c r="J126" i="1" s="1"/>
  <c r="I48" i="1"/>
  <c r="M48" i="1" s="1"/>
  <c r="O48" i="1" s="1"/>
  <c r="M240" i="1"/>
  <c r="O240" i="1" s="1"/>
  <c r="J241" i="1"/>
  <c r="M77" i="1"/>
  <c r="O77" i="1" s="1"/>
  <c r="J216" i="1"/>
  <c r="J88" i="1"/>
  <c r="J231" i="1"/>
  <c r="J169" i="1"/>
  <c r="J75" i="1"/>
  <c r="J154" i="1"/>
  <c r="J166" i="1"/>
  <c r="J225" i="1"/>
  <c r="J41" i="1"/>
  <c r="J218" i="1"/>
  <c r="J159" i="1"/>
  <c r="J167" i="1"/>
  <c r="J200" i="1"/>
  <c r="J164" i="1"/>
  <c r="J87" i="1"/>
  <c r="M237" i="1"/>
  <c r="O237" i="1" s="1"/>
  <c r="J237" i="1"/>
  <c r="J238" i="1"/>
  <c r="J207" i="1"/>
  <c r="J152" i="1"/>
  <c r="J232" i="1"/>
  <c r="J153" i="1"/>
  <c r="J72" i="1"/>
  <c r="J175" i="1"/>
  <c r="J168" i="1"/>
  <c r="J73" i="1"/>
  <c r="M106" i="1"/>
  <c r="O106" i="1" s="1"/>
  <c r="J120" i="1"/>
  <c r="J111" i="1"/>
  <c r="J36" i="1"/>
  <c r="J193" i="1"/>
  <c r="J172" i="1"/>
  <c r="J147" i="1"/>
  <c r="J204" i="1"/>
  <c r="J96" i="1"/>
  <c r="J223" i="1"/>
  <c r="J109" i="1"/>
  <c r="J194" i="1"/>
  <c r="J125" i="1"/>
  <c r="J83" i="1"/>
  <c r="J69" i="1"/>
  <c r="J143" i="1"/>
  <c r="M62" i="1"/>
  <c r="O62" i="1" s="1"/>
  <c r="J62" i="1"/>
  <c r="J95" i="1"/>
  <c r="J123" i="1"/>
  <c r="J134" i="1"/>
  <c r="J42" i="1"/>
  <c r="J56" i="1"/>
  <c r="J186" i="1"/>
  <c r="J135" i="1"/>
  <c r="J59" i="1"/>
  <c r="J58" i="1"/>
  <c r="J63" i="1"/>
  <c r="J94" i="1"/>
  <c r="J156" i="1"/>
  <c r="J54" i="1"/>
  <c r="J52" i="1"/>
  <c r="J55" i="1"/>
  <c r="J74" i="1"/>
  <c r="J53" i="1"/>
  <c r="CR59" i="15" l="1" a="1"/>
  <c r="CR59" i="15" s="1"/>
  <c r="DT59" i="15" s="1"/>
  <c r="DU59" i="15" s="1"/>
  <c r="CL20" i="15"/>
  <c r="DH20" i="15" s="1"/>
  <c r="DI20" i="15" s="1"/>
  <c r="CR67" i="15" a="1"/>
  <c r="CR67" i="15" s="1"/>
  <c r="CL31" i="15"/>
  <c r="DH31" i="15" s="1"/>
  <c r="DI31" i="15" s="1"/>
  <c r="CL71" i="15"/>
  <c r="CI118" i="15" s="1"/>
  <c r="CL27" i="15"/>
  <c r="DH27" i="15" s="1"/>
  <c r="DI27" i="15" s="1"/>
  <c r="CR39" i="15" a="1"/>
  <c r="CR39" i="15" s="1"/>
  <c r="DT39" i="15" s="1"/>
  <c r="DU39" i="15" s="1"/>
  <c r="CL36" i="15"/>
  <c r="DH36" i="15" s="1"/>
  <c r="DI36" i="15" s="1"/>
  <c r="CL37" i="15"/>
  <c r="DH37" i="15" s="1"/>
  <c r="DI37" i="15" s="1"/>
  <c r="CL50" i="15"/>
  <c r="DH50" i="15" s="1"/>
  <c r="DI50" i="15" s="1"/>
  <c r="CR13" i="15" a="1"/>
  <c r="CR13" i="15" s="1"/>
  <c r="DT13" i="15" s="1"/>
  <c r="DU13" i="15" s="1"/>
  <c r="CL68" i="15"/>
  <c r="CR61" i="15" a="1"/>
  <c r="CR61" i="15" s="1"/>
  <c r="DT61" i="15" s="1"/>
  <c r="DU61" i="15" s="1"/>
  <c r="CL43" i="15"/>
  <c r="DH43" i="15" s="1"/>
  <c r="DI43" i="15" s="1"/>
  <c r="CO14" i="15"/>
  <c r="DN14" i="15" s="1"/>
  <c r="DO14" i="15" s="1"/>
  <c r="CO19" i="15"/>
  <c r="DN19" i="15" s="1"/>
  <c r="DO19" i="15" s="1"/>
  <c r="CO44" i="15"/>
  <c r="DN44" i="15" s="1"/>
  <c r="DO44" i="15" s="1"/>
  <c r="CL69" i="15"/>
  <c r="DH69" i="15" s="1"/>
  <c r="DI69" i="15" s="1"/>
  <c r="CR63" i="15" a="1"/>
  <c r="CR63" i="15" s="1"/>
  <c r="DT63" i="15" s="1"/>
  <c r="DU63" i="15" s="1"/>
  <c r="CL62" i="15"/>
  <c r="DH62" i="15" s="1"/>
  <c r="DI62" i="15" s="1"/>
  <c r="CL10" i="15"/>
  <c r="DH10" i="15" s="1"/>
  <c r="DI10" i="15" s="1"/>
  <c r="CO22" i="15"/>
  <c r="DN22" i="15" s="1"/>
  <c r="DO22" i="15" s="1"/>
  <c r="CR12" i="15" a="1"/>
  <c r="CR12" i="15" s="1"/>
  <c r="DT12" i="15" s="1"/>
  <c r="DU12" i="15" s="1"/>
  <c r="CL21" i="15"/>
  <c r="DH21" i="15" s="1"/>
  <c r="DI21" i="15" s="1"/>
  <c r="CL46" i="15"/>
  <c r="DH46" i="15" s="1"/>
  <c r="DI46" i="15" s="1"/>
  <c r="CR11" i="15" a="1"/>
  <c r="CR11" i="15" s="1"/>
  <c r="DT11" i="15" s="1"/>
  <c r="DU11" i="15" s="1"/>
  <c r="CO15" i="15"/>
  <c r="DN15" i="15" s="1"/>
  <c r="DO15" i="15" s="1"/>
  <c r="CO23" i="15"/>
  <c r="DN23" i="15" s="1"/>
  <c r="DO23" i="15" s="1"/>
  <c r="CL16" i="15"/>
  <c r="DH16" i="15" s="1"/>
  <c r="DI16" i="15" s="1"/>
  <c r="CL18" i="15"/>
  <c r="DH18" i="15" s="1"/>
  <c r="DI18" i="15" s="1"/>
  <c r="CO49" i="15"/>
  <c r="DN49" i="15" s="1"/>
  <c r="DO49" i="15" s="1"/>
  <c r="CR33" i="15" a="1"/>
  <c r="CR33" i="15" s="1"/>
  <c r="DT33" i="15" s="1"/>
  <c r="DU33" i="15" s="1"/>
  <c r="CL24" i="15"/>
  <c r="DH24" i="15" s="1"/>
  <c r="DI24" i="15" s="1"/>
  <c r="CR26" i="15" a="1"/>
  <c r="CR26" i="15" s="1"/>
  <c r="DT26" i="15" s="1"/>
  <c r="DU26" i="15" s="1"/>
  <c r="CL30" i="15"/>
  <c r="DH30" i="15" s="1"/>
  <c r="DI30" i="15" s="1"/>
  <c r="CO54" i="15"/>
  <c r="DN54" i="15" s="1"/>
  <c r="DO54" i="15" s="1"/>
  <c r="CL35" i="15"/>
  <c r="DH35" i="15" s="1"/>
  <c r="DI35" i="15" s="1"/>
  <c r="CO32" i="15"/>
  <c r="DN32" i="15" s="1"/>
  <c r="DO32" i="15" s="1"/>
  <c r="CO40" i="15"/>
  <c r="DN40" i="15" s="1"/>
  <c r="DO40" i="15" s="1"/>
  <c r="CL17" i="15"/>
  <c r="DH17" i="15" s="1"/>
  <c r="DI17" i="15" s="1"/>
  <c r="CR42" i="15" a="1"/>
  <c r="CR42" i="15" s="1"/>
  <c r="DT42" i="15" s="1"/>
  <c r="DU42" i="15" s="1"/>
  <c r="CO47" i="15"/>
  <c r="DN47" i="15" s="1"/>
  <c r="DO47" i="15" s="1"/>
  <c r="CL55" i="15"/>
  <c r="DH55" i="15" s="1"/>
  <c r="DI55" i="15" s="1"/>
  <c r="CL38" i="15"/>
  <c r="DH38" i="15" s="1"/>
  <c r="DI38" i="15" s="1"/>
  <c r="CL51" i="15"/>
  <c r="DH51" i="15" s="1"/>
  <c r="DI51" i="15" s="1"/>
  <c r="CL34" i="15"/>
  <c r="DH34" i="15" s="1"/>
  <c r="DI34" i="15" s="1"/>
  <c r="CL9" i="15"/>
  <c r="DH9" i="15" s="1"/>
  <c r="DI9" i="15" s="1"/>
  <c r="CR48" i="15" a="1"/>
  <c r="CR48" i="15" s="1"/>
  <c r="DT48" i="15" s="1"/>
  <c r="DU48" i="15" s="1"/>
  <c r="CL45" i="15"/>
  <c r="DH45" i="15" s="1"/>
  <c r="DI45" i="15" s="1"/>
  <c r="CL25" i="15"/>
  <c r="DH25" i="15" s="1"/>
  <c r="DI25" i="15" s="1"/>
  <c r="CO29" i="15"/>
  <c r="DN29" i="15" s="1"/>
  <c r="DO29" i="15" s="1"/>
  <c r="CR28" i="15" a="1"/>
  <c r="CR28" i="15" s="1"/>
  <c r="DT28" i="15" s="1"/>
  <c r="DU28" i="15" s="1"/>
  <c r="CO52" i="15"/>
  <c r="DN52" i="15" s="1"/>
  <c r="DO52" i="15" s="1"/>
  <c r="CL53" i="15"/>
  <c r="DH53" i="15" s="1"/>
  <c r="DI53" i="15" s="1"/>
  <c r="CT71" i="15" a="1"/>
  <c r="CT71" i="15" s="1"/>
  <c r="CH121" i="15" s="1"/>
  <c r="CT69" i="15" a="1"/>
  <c r="CT69" i="15" s="1"/>
  <c r="CT67" i="15" a="1"/>
  <c r="CT67" i="15" s="1"/>
  <c r="CH106" i="15" s="1"/>
  <c r="CT70" i="15" a="1"/>
  <c r="CT70" i="15" s="1"/>
  <c r="CH116" i="15" s="1"/>
  <c r="CT68" i="15" a="1"/>
  <c r="CT68" i="15" s="1"/>
  <c r="CH111" i="15" s="1"/>
  <c r="CU71" i="15" a="1"/>
  <c r="CU71" i="15" s="1"/>
  <c r="CI121" i="15" s="1"/>
  <c r="CU69" i="15" a="1"/>
  <c r="CU69" i="15" s="1"/>
  <c r="CU67" i="15" a="1"/>
  <c r="CU67" i="15" s="1"/>
  <c r="CI106" i="15" s="1"/>
  <c r="CU70" i="15" a="1"/>
  <c r="CU70" i="15" s="1"/>
  <c r="CI116" i="15" s="1"/>
  <c r="CU68" i="15" a="1"/>
  <c r="CU68" i="15" s="1"/>
  <c r="CI111" i="15" s="1"/>
  <c r="CT63" i="15" a="1"/>
  <c r="CT63" i="15" s="1"/>
  <c r="CT61" i="15" a="1"/>
  <c r="CT61" i="15" s="1"/>
  <c r="CT59" i="15" a="1"/>
  <c r="CT59" i="15" s="1"/>
  <c r="CT60" i="15" a="1"/>
  <c r="CT60" i="15" s="1"/>
  <c r="CT62" i="15" a="1"/>
  <c r="CT62" i="15" s="1"/>
  <c r="CU63" i="15" a="1"/>
  <c r="CU63" i="15" s="1"/>
  <c r="CU61" i="15" a="1"/>
  <c r="CU61" i="15" s="1"/>
  <c r="CU59" i="15" a="1"/>
  <c r="CU59" i="15" s="1"/>
  <c r="CU62" i="15" a="1"/>
  <c r="CU62" i="15" s="1"/>
  <c r="CU60" i="15" a="1"/>
  <c r="CU60" i="15" s="1"/>
  <c r="CT8" i="15" a="1"/>
  <c r="CT8" i="15" s="1"/>
  <c r="CT9" i="15" a="1"/>
  <c r="CT9" i="15" s="1"/>
  <c r="CT11" i="15" a="1"/>
  <c r="CT11" i="15" s="1"/>
  <c r="CT13" i="15" a="1"/>
  <c r="CT13" i="15" s="1"/>
  <c r="CT15" i="15" a="1"/>
  <c r="CT15" i="15" s="1"/>
  <c r="CT17" i="15" a="1"/>
  <c r="CT17" i="15" s="1"/>
  <c r="CT19" i="15" a="1"/>
  <c r="CT19" i="15" s="1"/>
  <c r="CT21" i="15" a="1"/>
  <c r="CT21" i="15" s="1"/>
  <c r="CT23" i="15" a="1"/>
  <c r="CT23" i="15" s="1"/>
  <c r="CT25" i="15" a="1"/>
  <c r="CT25" i="15" s="1"/>
  <c r="CT27" i="15" a="1"/>
  <c r="CT27" i="15" s="1"/>
  <c r="CT29" i="15" a="1"/>
  <c r="CT29" i="15" s="1"/>
  <c r="CT31" i="15" a="1"/>
  <c r="CT31" i="15" s="1"/>
  <c r="CT33" i="15" a="1"/>
  <c r="CT33" i="15" s="1"/>
  <c r="CT35" i="15" a="1"/>
  <c r="CT35" i="15" s="1"/>
  <c r="CT37" i="15" a="1"/>
  <c r="CT37" i="15" s="1"/>
  <c r="CT39" i="15" a="1"/>
  <c r="CT39" i="15" s="1"/>
  <c r="CT41" i="15" a="1"/>
  <c r="CT41" i="15" s="1"/>
  <c r="CT43" i="15" a="1"/>
  <c r="CT43" i="15" s="1"/>
  <c r="CT45" i="15" a="1"/>
  <c r="CT45" i="15" s="1"/>
  <c r="CT47" i="15" a="1"/>
  <c r="CT47" i="15" s="1"/>
  <c r="CT49" i="15" a="1"/>
  <c r="CT49" i="15" s="1"/>
  <c r="CT51" i="15" a="1"/>
  <c r="CT51" i="15" s="1"/>
  <c r="CT53" i="15" a="1"/>
  <c r="CT53" i="15" s="1"/>
  <c r="CT55" i="15" a="1"/>
  <c r="CT55" i="15" s="1"/>
  <c r="CT10" i="15" a="1"/>
  <c r="CT10" i="15" s="1"/>
  <c r="CT12" i="15" a="1"/>
  <c r="CT12" i="15" s="1"/>
  <c r="CT14" i="15" a="1"/>
  <c r="CT14" i="15" s="1"/>
  <c r="CT16" i="15" a="1"/>
  <c r="CT16" i="15" s="1"/>
  <c r="CT18" i="15" a="1"/>
  <c r="CT18" i="15" s="1"/>
  <c r="CT20" i="15" a="1"/>
  <c r="CT20" i="15" s="1"/>
  <c r="CT22" i="15" a="1"/>
  <c r="CT22" i="15" s="1"/>
  <c r="CT24" i="15" a="1"/>
  <c r="CT24" i="15" s="1"/>
  <c r="CT26" i="15" a="1"/>
  <c r="CT26" i="15" s="1"/>
  <c r="CT28" i="15" a="1"/>
  <c r="CT28" i="15" s="1"/>
  <c r="CT30" i="15" a="1"/>
  <c r="CT30" i="15" s="1"/>
  <c r="CT32" i="15" a="1"/>
  <c r="CT32" i="15" s="1"/>
  <c r="CT34" i="15" a="1"/>
  <c r="CT34" i="15" s="1"/>
  <c r="CT36" i="15" a="1"/>
  <c r="CT36" i="15" s="1"/>
  <c r="CT38" i="15" a="1"/>
  <c r="CT38" i="15" s="1"/>
  <c r="CT40" i="15" a="1"/>
  <c r="CT40" i="15" s="1"/>
  <c r="CT42" i="15" a="1"/>
  <c r="CT42" i="15" s="1"/>
  <c r="CT44" i="15" a="1"/>
  <c r="CT44" i="15" s="1"/>
  <c r="CT46" i="15" a="1"/>
  <c r="CT46" i="15" s="1"/>
  <c r="CT48" i="15" a="1"/>
  <c r="CT48" i="15" s="1"/>
  <c r="CT50" i="15" a="1"/>
  <c r="CT50" i="15" s="1"/>
  <c r="CT52" i="15" a="1"/>
  <c r="CT52" i="15" s="1"/>
  <c r="CT54" i="15" a="1"/>
  <c r="CT54" i="15" s="1"/>
  <c r="CU8" i="15" a="1"/>
  <c r="CU8" i="15" s="1"/>
  <c r="CU14" i="15" a="1"/>
  <c r="CU14" i="15" s="1"/>
  <c r="CU24" i="15" a="1"/>
  <c r="CU24" i="15" s="1"/>
  <c r="CU30" i="15" a="1"/>
  <c r="CU30" i="15" s="1"/>
  <c r="CU36" i="15" a="1"/>
  <c r="CU36" i="15" s="1"/>
  <c r="CU42" i="15" a="1"/>
  <c r="CU42" i="15" s="1"/>
  <c r="CU48" i="15" a="1"/>
  <c r="CU48" i="15" s="1"/>
  <c r="CU54" i="15" a="1"/>
  <c r="CU54" i="15" s="1"/>
  <c r="CU9" i="15" a="1"/>
  <c r="CU9" i="15" s="1"/>
  <c r="CU11" i="15" a="1"/>
  <c r="CU11" i="15" s="1"/>
  <c r="CU13" i="15" a="1"/>
  <c r="CU13" i="15" s="1"/>
  <c r="CU15" i="15" a="1"/>
  <c r="CU15" i="15" s="1"/>
  <c r="CU17" i="15" a="1"/>
  <c r="CU17" i="15" s="1"/>
  <c r="CU19" i="15" a="1"/>
  <c r="CU19" i="15" s="1"/>
  <c r="CU21" i="15" a="1"/>
  <c r="CU21" i="15" s="1"/>
  <c r="CU23" i="15" a="1"/>
  <c r="CU23" i="15" s="1"/>
  <c r="CU25" i="15" a="1"/>
  <c r="CU25" i="15" s="1"/>
  <c r="CU27" i="15" a="1"/>
  <c r="CU27" i="15" s="1"/>
  <c r="CU29" i="15" a="1"/>
  <c r="CU29" i="15" s="1"/>
  <c r="CU31" i="15" a="1"/>
  <c r="CU31" i="15" s="1"/>
  <c r="CU33" i="15" a="1"/>
  <c r="CU33" i="15" s="1"/>
  <c r="CU35" i="15" a="1"/>
  <c r="CU35" i="15" s="1"/>
  <c r="CU37" i="15" a="1"/>
  <c r="CU37" i="15" s="1"/>
  <c r="CU39" i="15" a="1"/>
  <c r="CU39" i="15" s="1"/>
  <c r="CU41" i="15" a="1"/>
  <c r="CU41" i="15" s="1"/>
  <c r="CU43" i="15" a="1"/>
  <c r="CU43" i="15" s="1"/>
  <c r="CU45" i="15" a="1"/>
  <c r="CU45" i="15" s="1"/>
  <c r="CU47" i="15" a="1"/>
  <c r="CU47" i="15" s="1"/>
  <c r="CU49" i="15" a="1"/>
  <c r="CU49" i="15" s="1"/>
  <c r="CU51" i="15" a="1"/>
  <c r="CU51" i="15" s="1"/>
  <c r="CU53" i="15" a="1"/>
  <c r="CU53" i="15" s="1"/>
  <c r="CU55" i="15" a="1"/>
  <c r="CU55" i="15" s="1"/>
  <c r="CU12" i="15" a="1"/>
  <c r="CU12" i="15" s="1"/>
  <c r="CU18" i="15" a="1"/>
  <c r="CU18" i="15" s="1"/>
  <c r="CU22" i="15" a="1"/>
  <c r="CU22" i="15" s="1"/>
  <c r="CU28" i="15" a="1"/>
  <c r="CU28" i="15" s="1"/>
  <c r="CU32" i="15" a="1"/>
  <c r="CU32" i="15" s="1"/>
  <c r="CU38" i="15" a="1"/>
  <c r="CU38" i="15" s="1"/>
  <c r="CU44" i="15" a="1"/>
  <c r="CU44" i="15" s="1"/>
  <c r="CU52" i="15" a="1"/>
  <c r="CU52" i="15" s="1"/>
  <c r="CU10" i="15" a="1"/>
  <c r="CU10" i="15" s="1"/>
  <c r="CU16" i="15" a="1"/>
  <c r="CU16" i="15" s="1"/>
  <c r="CU20" i="15" a="1"/>
  <c r="CU20" i="15" s="1"/>
  <c r="CU26" i="15" a="1"/>
  <c r="CU26" i="15" s="1"/>
  <c r="CU34" i="15" a="1"/>
  <c r="CU34" i="15" s="1"/>
  <c r="CU40" i="15" a="1"/>
  <c r="CU40" i="15" s="1"/>
  <c r="CU46" i="15" a="1"/>
  <c r="CU46" i="15" s="1"/>
  <c r="CU50" i="15" a="1"/>
  <c r="CU50" i="15" s="1"/>
  <c r="CR71" i="15" a="1"/>
  <c r="CR71" i="15" s="1"/>
  <c r="CI120" i="15" s="1"/>
  <c r="CO31" i="15"/>
  <c r="DN31" i="15" s="1"/>
  <c r="DO31" i="15" s="1"/>
  <c r="CR10" i="15" a="1"/>
  <c r="CR10" i="15" s="1"/>
  <c r="DT10" i="15" s="1"/>
  <c r="DU10" i="15" s="1"/>
  <c r="CR23" i="15" a="1"/>
  <c r="CR23" i="15" s="1"/>
  <c r="DT23" i="15" s="1"/>
  <c r="DU23" i="15" s="1"/>
  <c r="CL19" i="15"/>
  <c r="DH19" i="15" s="1"/>
  <c r="DI19" i="15" s="1"/>
  <c r="CO37" i="15"/>
  <c r="DN37" i="15" s="1"/>
  <c r="DO37" i="15" s="1"/>
  <c r="CR37" i="15" a="1"/>
  <c r="CR37" i="15" s="1"/>
  <c r="DT37" i="15" s="1"/>
  <c r="DU37" i="15" s="1"/>
  <c r="CR17" i="15" a="1"/>
  <c r="CR17" i="15" s="1"/>
  <c r="DT17" i="15" s="1"/>
  <c r="DU17" i="15" s="1"/>
  <c r="CO46" i="15"/>
  <c r="DN46" i="15" s="1"/>
  <c r="DO46" i="15" s="1"/>
  <c r="CR46" i="15" a="1"/>
  <c r="CR46" i="15" s="1"/>
  <c r="DT46" i="15" s="1"/>
  <c r="DU46" i="15" s="1"/>
  <c r="CR16" i="15" a="1"/>
  <c r="CR16" i="15" s="1"/>
  <c r="DT16" i="15" s="1"/>
  <c r="DU16" i="15" s="1"/>
  <c r="CL44" i="15"/>
  <c r="DH44" i="15" s="1"/>
  <c r="DI44" i="15" s="1"/>
  <c r="CO21" i="15"/>
  <c r="DN21" i="15" s="1"/>
  <c r="DO21" i="15" s="1"/>
  <c r="CL42" i="15"/>
  <c r="DH42" i="15" s="1"/>
  <c r="DI42" i="15" s="1"/>
  <c r="CO35" i="15"/>
  <c r="DN35" i="15" s="1"/>
  <c r="DO35" i="15" s="1"/>
  <c r="CO28" i="15"/>
  <c r="DN28" i="15" s="1"/>
  <c r="DO28" i="15" s="1"/>
  <c r="CO41" i="15"/>
  <c r="DN41" i="15" s="1"/>
  <c r="DO41" i="15" s="1"/>
  <c r="CL41" i="15"/>
  <c r="DH41" i="15" s="1"/>
  <c r="DI41" i="15" s="1"/>
  <c r="CR41" i="15" a="1"/>
  <c r="CR41" i="15" s="1"/>
  <c r="DT41" i="15" s="1"/>
  <c r="DU41" i="15" s="1"/>
  <c r="CL61" i="15"/>
  <c r="DH61" i="15" s="1"/>
  <c r="DI61" i="15" s="1"/>
  <c r="CO61" i="15"/>
  <c r="DN61" i="15" s="1"/>
  <c r="DO61" i="15" s="1"/>
  <c r="BT103" i="15"/>
  <c r="CL59" i="15"/>
  <c r="DH59" i="15" s="1"/>
  <c r="DI59" i="15" s="1"/>
  <c r="CO59" i="15"/>
  <c r="DN59" i="15" s="1"/>
  <c r="DO59" i="15" s="1"/>
  <c r="CL60" i="15"/>
  <c r="DH60" i="15" s="1"/>
  <c r="DI60" i="15" s="1"/>
  <c r="CO60" i="15"/>
  <c r="DN60" i="15" s="1"/>
  <c r="DO60" i="15" s="1"/>
  <c r="CR60" i="15" a="1"/>
  <c r="CR60" i="15" s="1"/>
  <c r="DT60" i="15" s="1"/>
  <c r="DU60" i="15" s="1"/>
  <c r="CL67" i="15"/>
  <c r="CR68" i="15" a="1"/>
  <c r="CR68" i="15" s="1"/>
  <c r="CK71" i="15"/>
  <c r="CL70" i="15"/>
  <c r="CO70" i="15"/>
  <c r="CR70" i="15" a="1"/>
  <c r="CR70" i="15" s="1"/>
  <c r="AS43" i="14"/>
  <c r="AR44" i="14" s="1"/>
  <c r="J67" i="1"/>
  <c r="J71" i="1"/>
  <c r="J100" i="1"/>
  <c r="J68" i="1"/>
  <c r="J70" i="1"/>
  <c r="J180" i="1"/>
  <c r="J97" i="1"/>
  <c r="M60" i="1"/>
  <c r="O60" i="1" s="1"/>
  <c r="J110" i="1"/>
  <c r="J151" i="1"/>
  <c r="J220" i="1"/>
  <c r="J257" i="1"/>
  <c r="J250" i="1"/>
  <c r="J261" i="1"/>
  <c r="J254" i="1"/>
  <c r="J131" i="1"/>
  <c r="J132" i="1"/>
  <c r="M107" i="1"/>
  <c r="O107" i="1" s="1"/>
  <c r="J89" i="1"/>
  <c r="J224" i="1"/>
  <c r="J138" i="1"/>
  <c r="J160" i="1"/>
  <c r="J148" i="1"/>
  <c r="J139" i="1"/>
  <c r="J116" i="1"/>
  <c r="J46" i="1"/>
  <c r="J177" i="1"/>
  <c r="J233" i="1"/>
  <c r="J112" i="1"/>
  <c r="J235" i="1"/>
  <c r="M132" i="1"/>
  <c r="O132" i="1" s="1"/>
  <c r="J60" i="1"/>
  <c r="J221" i="1"/>
  <c r="M129" i="1"/>
  <c r="O129" i="1" s="1"/>
  <c r="J140" i="1"/>
  <c r="J178" i="1"/>
  <c r="J50" i="1"/>
  <c r="J118" i="1"/>
  <c r="J230" i="1"/>
  <c r="J44" i="1"/>
  <c r="M170" i="1"/>
  <c r="O170" i="1" s="1"/>
  <c r="J104" i="1"/>
  <c r="M39" i="1"/>
  <c r="O39" i="1" s="1"/>
  <c r="J108" i="1"/>
  <c r="J185" i="1"/>
  <c r="J188" i="1"/>
  <c r="J66" i="1"/>
  <c r="J213" i="1"/>
  <c r="J205" i="1"/>
  <c r="J208" i="1"/>
  <c r="J197" i="1"/>
  <c r="J40" i="1"/>
  <c r="J101" i="1"/>
  <c r="M43" i="1"/>
  <c r="O43" i="1" s="1"/>
  <c r="J146" i="1"/>
  <c r="J144" i="1"/>
  <c r="J215" i="1"/>
  <c r="M161" i="1"/>
  <c r="O161" i="1" s="1"/>
  <c r="J227" i="1"/>
  <c r="J161" i="1"/>
  <c r="J190" i="1"/>
  <c r="J269" i="1"/>
  <c r="J115" i="1"/>
  <c r="J171" i="1"/>
  <c r="J236" i="1"/>
  <c r="J51" i="1"/>
  <c r="J65" i="1"/>
  <c r="M187" i="1"/>
  <c r="O187" i="1" s="1"/>
  <c r="M121" i="1"/>
  <c r="O121" i="1" s="1"/>
  <c r="J35" i="1"/>
  <c r="J92" i="1"/>
  <c r="J45" i="1"/>
  <c r="J181" i="1"/>
  <c r="J136" i="1"/>
  <c r="J122" i="1"/>
  <c r="J189" i="1"/>
  <c r="J229" i="1"/>
  <c r="J214" i="1"/>
  <c r="J198" i="1"/>
  <c r="J113" i="1"/>
  <c r="J37" i="1"/>
  <c r="J209" i="1"/>
  <c r="J86" i="1"/>
  <c r="J102" i="1"/>
  <c r="J184" i="1"/>
  <c r="J34" i="1"/>
  <c r="J182" i="1"/>
  <c r="J114" i="1"/>
  <c r="J90" i="1"/>
  <c r="J212" i="1"/>
  <c r="J234" i="1"/>
  <c r="J244" i="1"/>
  <c r="J249" i="1"/>
  <c r="J245" i="1"/>
  <c r="M217" i="1"/>
  <c r="O217" i="1" s="1"/>
  <c r="J106" i="1"/>
  <c r="J93" i="1"/>
  <c r="J137" i="1"/>
  <c r="J78" i="1"/>
  <c r="J119" i="1"/>
  <c r="J211" i="1"/>
  <c r="J206" i="1"/>
  <c r="J210" i="1"/>
  <c r="J228" i="1"/>
  <c r="J149" i="1"/>
  <c r="J183" i="1"/>
  <c r="J79" i="1"/>
  <c r="J99" i="1"/>
  <c r="J240" i="1"/>
  <c r="J98" i="1"/>
  <c r="J103" i="1"/>
  <c r="J196" i="1"/>
  <c r="J145" i="1"/>
  <c r="J38" i="1"/>
  <c r="J199" i="1"/>
  <c r="J256" i="1"/>
  <c r="J239" i="1"/>
  <c r="J141" i="1"/>
  <c r="J105" i="1"/>
  <c r="J85" i="1"/>
  <c r="J84" i="1"/>
  <c r="J174" i="1"/>
  <c r="J142" i="1"/>
  <c r="J129" i="1"/>
  <c r="J157" i="1"/>
  <c r="J173" i="1"/>
  <c r="M33" i="1"/>
  <c r="O33" i="1" s="1"/>
  <c r="J81" i="1"/>
  <c r="J128" i="1"/>
  <c r="J82" i="1"/>
  <c r="J76" i="1"/>
  <c r="M126" i="1"/>
  <c r="O126" i="1" s="1"/>
  <c r="J127" i="1"/>
  <c r="J48" i="1"/>
  <c r="J77" i="1"/>
  <c r="M104" i="1"/>
  <c r="O104" i="1" s="1"/>
  <c r="M157" i="1"/>
  <c r="O157" i="1" s="1"/>
  <c r="J49" i="1"/>
  <c r="J33" i="1"/>
  <c r="D6" i="4"/>
  <c r="DH71" i="15" l="1"/>
  <c r="DI71" i="15" s="1"/>
  <c r="CO48" i="15"/>
  <c r="DN48" i="15" s="1"/>
  <c r="DO48" i="15" s="1"/>
  <c r="CR44" i="15" a="1"/>
  <c r="CR44" i="15" s="1"/>
  <c r="DT44" i="15" s="1"/>
  <c r="DU44" i="15" s="1"/>
  <c r="CO16" i="15"/>
  <c r="DN16" i="15" s="1"/>
  <c r="DO16" i="15" s="1"/>
  <c r="CO10" i="15"/>
  <c r="DN10" i="15" s="1"/>
  <c r="DO10" i="15" s="1"/>
  <c r="CO71" i="15"/>
  <c r="DN71" i="15" s="1"/>
  <c r="DO71" i="15" s="1"/>
  <c r="CO51" i="15"/>
  <c r="DN51" i="15" s="1"/>
  <c r="DO51" i="15" s="1"/>
  <c r="CO69" i="15"/>
  <c r="DN69" i="15" s="1"/>
  <c r="DO69" i="15" s="1"/>
  <c r="CL22" i="15"/>
  <c r="DH22" i="15" s="1"/>
  <c r="DI22" i="15" s="1"/>
  <c r="CR47" i="15" a="1"/>
  <c r="CR47" i="15" s="1"/>
  <c r="DT47" i="15" s="1"/>
  <c r="DU47" i="15" s="1"/>
  <c r="CL52" i="15"/>
  <c r="DH52" i="15" s="1"/>
  <c r="DI52" i="15" s="1"/>
  <c r="CR45" i="15" a="1"/>
  <c r="CR45" i="15" s="1"/>
  <c r="DT45" i="15" s="1"/>
  <c r="DU45" i="15" s="1"/>
  <c r="CO11" i="15"/>
  <c r="DN11" i="15" s="1"/>
  <c r="DO11" i="15" s="1"/>
  <c r="CR69" i="15" a="1"/>
  <c r="CR69" i="15" s="1"/>
  <c r="DT69" i="15" s="1"/>
  <c r="DU69" i="15" s="1"/>
  <c r="CO26" i="15"/>
  <c r="DN26" i="15" s="1"/>
  <c r="DO26" i="15" s="1"/>
  <c r="CL11" i="15"/>
  <c r="DH11" i="15" s="1"/>
  <c r="DI11" i="15" s="1"/>
  <c r="CL32" i="15"/>
  <c r="DH32" i="15" s="1"/>
  <c r="DI32" i="15" s="1"/>
  <c r="CO18" i="15"/>
  <c r="DN18" i="15" s="1"/>
  <c r="DO18" i="15" s="1"/>
  <c r="CL26" i="15"/>
  <c r="DH26" i="15" s="1"/>
  <c r="DI26" i="15" s="1"/>
  <c r="CR34" i="15" a="1"/>
  <c r="CR34" i="15" s="1"/>
  <c r="DT34" i="15" s="1"/>
  <c r="DU34" i="15" s="1"/>
  <c r="CO50" i="15"/>
  <c r="DN50" i="15" s="1"/>
  <c r="DO50" i="15" s="1"/>
  <c r="CR20" i="15" a="1"/>
  <c r="CR20" i="15" s="1"/>
  <c r="DT20" i="15" s="1"/>
  <c r="DU20" i="15" s="1"/>
  <c r="CO43" i="15"/>
  <c r="DN43" i="15" s="1"/>
  <c r="DO43" i="15" s="1"/>
  <c r="CO20" i="15"/>
  <c r="DN20" i="15" s="1"/>
  <c r="DO20" i="15" s="1"/>
  <c r="CO27" i="15"/>
  <c r="DN27" i="15" s="1"/>
  <c r="DO27" i="15" s="1"/>
  <c r="CO39" i="15"/>
  <c r="DN39" i="15" s="1"/>
  <c r="DO39" i="15" s="1"/>
  <c r="CL12" i="15"/>
  <c r="DH12" i="15" s="1"/>
  <c r="DI12" i="15" s="1"/>
  <c r="CO67" i="15"/>
  <c r="CI104" i="15" s="1"/>
  <c r="CR52" i="15" a="1"/>
  <c r="CR52" i="15" s="1"/>
  <c r="DT52" i="15" s="1"/>
  <c r="DU52" i="15" s="1"/>
  <c r="CR18" i="15" a="1"/>
  <c r="CR18" i="15" s="1"/>
  <c r="DT18" i="15" s="1"/>
  <c r="DU18" i="15" s="1"/>
  <c r="CR22" i="15" a="1"/>
  <c r="CR22" i="15" s="1"/>
  <c r="DT22" i="15" s="1"/>
  <c r="DU22" i="15" s="1"/>
  <c r="CL39" i="15"/>
  <c r="DH39" i="15" s="1"/>
  <c r="DI39" i="15" s="1"/>
  <c r="CR43" i="15" a="1"/>
  <c r="CR43" i="15" s="1"/>
  <c r="DT43" i="15" s="1"/>
  <c r="DU43" i="15" s="1"/>
  <c r="CO45" i="15"/>
  <c r="DN45" i="15" s="1"/>
  <c r="DO45" i="15" s="1"/>
  <c r="CO34" i="15"/>
  <c r="DN34" i="15" s="1"/>
  <c r="DO34" i="15" s="1"/>
  <c r="CL47" i="15"/>
  <c r="DH47" i="15" s="1"/>
  <c r="DI47" i="15" s="1"/>
  <c r="CR50" i="15" a="1"/>
  <c r="CR50" i="15" s="1"/>
  <c r="DT50" i="15" s="1"/>
  <c r="DU50" i="15" s="1"/>
  <c r="CO13" i="15"/>
  <c r="DN13" i="15" s="1"/>
  <c r="DO13" i="15" s="1"/>
  <c r="CR32" i="15" a="1"/>
  <c r="CR32" i="15" s="1"/>
  <c r="DT32" i="15" s="1"/>
  <c r="DU32" i="15" s="1"/>
  <c r="CR27" i="15" a="1"/>
  <c r="CR27" i="15" s="1"/>
  <c r="DT27" i="15" s="1"/>
  <c r="DU27" i="15" s="1"/>
  <c r="CL13" i="15"/>
  <c r="DH13" i="15" s="1"/>
  <c r="DI13" i="15" s="1"/>
  <c r="CR30" i="15" a="1"/>
  <c r="CR30" i="15" s="1"/>
  <c r="DT30" i="15" s="1"/>
  <c r="DU30" i="15" s="1"/>
  <c r="CO68" i="15"/>
  <c r="CI109" i="15" s="1"/>
  <c r="CR62" i="15" a="1"/>
  <c r="CR62" i="15" s="1"/>
  <c r="DT62" i="15" s="1"/>
  <c r="DU62" i="15" s="1"/>
  <c r="CL33" i="15"/>
  <c r="DH33" i="15" s="1"/>
  <c r="DI33" i="15" s="1"/>
  <c r="CR54" i="15" a="1"/>
  <c r="CR54" i="15" s="1"/>
  <c r="DT54" i="15" s="1"/>
  <c r="DU54" i="15" s="1"/>
  <c r="CR36" i="15" a="1"/>
  <c r="CR36" i="15" s="1"/>
  <c r="DT36" i="15" s="1"/>
  <c r="DU36" i="15" s="1"/>
  <c r="CR31" i="15" a="1"/>
  <c r="CR31" i="15" s="1"/>
  <c r="DT31" i="15" s="1"/>
  <c r="DU31" i="15" s="1"/>
  <c r="CO62" i="15"/>
  <c r="DN62" i="15" s="1"/>
  <c r="DO62" i="15" s="1"/>
  <c r="CR21" i="15" a="1"/>
  <c r="CR21" i="15" s="1"/>
  <c r="DT21" i="15" s="1"/>
  <c r="DU21" i="15" s="1"/>
  <c r="CO33" i="15"/>
  <c r="DN33" i="15" s="1"/>
  <c r="DO33" i="15" s="1"/>
  <c r="CR19" i="15" a="1"/>
  <c r="CR19" i="15" s="1"/>
  <c r="DT19" i="15" s="1"/>
  <c r="DU19" i="15" s="1"/>
  <c r="CO36" i="15"/>
  <c r="DN36" i="15" s="1"/>
  <c r="DO36" i="15" s="1"/>
  <c r="CO17" i="15"/>
  <c r="DN17" i="15" s="1"/>
  <c r="DO17" i="15" s="1"/>
  <c r="CR24" i="15" a="1"/>
  <c r="CR24" i="15" s="1"/>
  <c r="DT24" i="15" s="1"/>
  <c r="DU24" i="15" s="1"/>
  <c r="DT71" i="15"/>
  <c r="DU71" i="15" s="1"/>
  <c r="CL28" i="15"/>
  <c r="DH28" i="15" s="1"/>
  <c r="DI28" i="15" s="1"/>
  <c r="CR35" i="15" a="1"/>
  <c r="CR35" i="15" s="1"/>
  <c r="DT35" i="15" s="1"/>
  <c r="DU35" i="15" s="1"/>
  <c r="CL48" i="15"/>
  <c r="DH48" i="15" s="1"/>
  <c r="DI48" i="15" s="1"/>
  <c r="CR51" i="15" a="1"/>
  <c r="CR51" i="15" s="1"/>
  <c r="DT51" i="15" s="1"/>
  <c r="DU51" i="15" s="1"/>
  <c r="CO42" i="15"/>
  <c r="DN42" i="15" s="1"/>
  <c r="DO42" i="15" s="1"/>
  <c r="CO24" i="15"/>
  <c r="DN24" i="15" s="1"/>
  <c r="DO24" i="15" s="1"/>
  <c r="CO55" i="15"/>
  <c r="DN55" i="15" s="1"/>
  <c r="DO55" i="15" s="1"/>
  <c r="CO53" i="15"/>
  <c r="DN53" i="15" s="1"/>
  <c r="DO53" i="15" s="1"/>
  <c r="CO9" i="15"/>
  <c r="DN9" i="15" s="1"/>
  <c r="DO9" i="15" s="1"/>
  <c r="CL40" i="15"/>
  <c r="DH40" i="15" s="1"/>
  <c r="DI40" i="15" s="1"/>
  <c r="CO63" i="15"/>
  <c r="DN63" i="15" s="1"/>
  <c r="DO63" i="15" s="1"/>
  <c r="CO25" i="15"/>
  <c r="DN25" i="15" s="1"/>
  <c r="DO25" i="15" s="1"/>
  <c r="CR49" i="15" a="1"/>
  <c r="CR49" i="15" s="1"/>
  <c r="DT49" i="15" s="1"/>
  <c r="DU49" i="15" s="1"/>
  <c r="CL63" i="15"/>
  <c r="DH63" i="15" s="1"/>
  <c r="DI63" i="15" s="1"/>
  <c r="CR53" i="15" a="1"/>
  <c r="CR53" i="15" s="1"/>
  <c r="DT53" i="15" s="1"/>
  <c r="DU53" i="15" s="1"/>
  <c r="CR15" i="15" a="1"/>
  <c r="CR15" i="15" s="1"/>
  <c r="DT15" i="15" s="1"/>
  <c r="DU15" i="15" s="1"/>
  <c r="CR9" i="15" a="1"/>
  <c r="CR9" i="15" s="1"/>
  <c r="DT9" i="15" s="1"/>
  <c r="DU9" i="15" s="1"/>
  <c r="CR55" i="15" a="1"/>
  <c r="CR55" i="15" s="1"/>
  <c r="DT55" i="15" s="1"/>
  <c r="DU55" i="15" s="1"/>
  <c r="CO12" i="15"/>
  <c r="DN12" i="15" s="1"/>
  <c r="DO12" i="15" s="1"/>
  <c r="CR14" i="15" a="1"/>
  <c r="CR14" i="15" s="1"/>
  <c r="DT14" i="15" s="1"/>
  <c r="DU14" i="15" s="1"/>
  <c r="CL49" i="15"/>
  <c r="DH49" i="15" s="1"/>
  <c r="DI49" i="15" s="1"/>
  <c r="CL15" i="15"/>
  <c r="DH15" i="15" s="1"/>
  <c r="DI15" i="15" s="1"/>
  <c r="CR25" i="15" a="1"/>
  <c r="CR25" i="15" s="1"/>
  <c r="DT25" i="15" s="1"/>
  <c r="DU25" i="15" s="1"/>
  <c r="CL14" i="15"/>
  <c r="DH14" i="15" s="1"/>
  <c r="DI14" i="15" s="1"/>
  <c r="CR40" i="15" a="1"/>
  <c r="CR40" i="15" s="1"/>
  <c r="DT40" i="15" s="1"/>
  <c r="DU40" i="15" s="1"/>
  <c r="CO30" i="15"/>
  <c r="DN30" i="15" s="1"/>
  <c r="DO30" i="15" s="1"/>
  <c r="CL54" i="15"/>
  <c r="DH54" i="15" s="1"/>
  <c r="DI54" i="15" s="1"/>
  <c r="CL23" i="15"/>
  <c r="DH23" i="15" s="1"/>
  <c r="DI23" i="15" s="1"/>
  <c r="CL29" i="15"/>
  <c r="DH29" i="15" s="1"/>
  <c r="DI29" i="15" s="1"/>
  <c r="CR38" i="15" a="1"/>
  <c r="CR38" i="15" s="1"/>
  <c r="DT38" i="15" s="1"/>
  <c r="DU38" i="15" s="1"/>
  <c r="CO38" i="15"/>
  <c r="DN38" i="15" s="1"/>
  <c r="DO38" i="15" s="1"/>
  <c r="CR29" i="15" a="1"/>
  <c r="CR29" i="15" s="1"/>
  <c r="DT29" i="15" s="1"/>
  <c r="DU29" i="15" s="1"/>
  <c r="CK116" i="15"/>
  <c r="CK106" i="15"/>
  <c r="CK111" i="15"/>
  <c r="CK121" i="15"/>
  <c r="CQ71" i="15" a="1"/>
  <c r="CQ71" i="15" s="1"/>
  <c r="DQ71" i="15" s="1"/>
  <c r="DR71" i="15" s="1"/>
  <c r="CN71" i="15"/>
  <c r="CH119" i="15" s="1"/>
  <c r="CK46" i="15"/>
  <c r="DE46" i="15" s="1"/>
  <c r="DF46" i="15" s="1"/>
  <c r="CN46" i="15"/>
  <c r="DK46" i="15" s="1"/>
  <c r="DL46" i="15" s="1"/>
  <c r="CQ46" i="15" a="1"/>
  <c r="CQ46" i="15" s="1"/>
  <c r="DQ46" i="15" s="1"/>
  <c r="DR46" i="15" s="1"/>
  <c r="CK26" i="15"/>
  <c r="DE26" i="15" s="1"/>
  <c r="DF26" i="15" s="1"/>
  <c r="CN26" i="15"/>
  <c r="DK26" i="15" s="1"/>
  <c r="DL26" i="15" s="1"/>
  <c r="CQ26" i="15" a="1"/>
  <c r="CQ26" i="15" s="1"/>
  <c r="DQ26" i="15" s="1"/>
  <c r="DR26" i="15" s="1"/>
  <c r="CK14" i="15"/>
  <c r="DE14" i="15" s="1"/>
  <c r="DF14" i="15" s="1"/>
  <c r="CN14" i="15"/>
  <c r="DK14" i="15" s="1"/>
  <c r="DL14" i="15" s="1"/>
  <c r="CQ14" i="15" a="1"/>
  <c r="CQ14" i="15" s="1"/>
  <c r="DQ14" i="15" s="1"/>
  <c r="DR14" i="15" s="1"/>
  <c r="CN27" i="15"/>
  <c r="DK27" i="15" s="1"/>
  <c r="DL27" i="15" s="1"/>
  <c r="CK27" i="15"/>
  <c r="DE27" i="15" s="1"/>
  <c r="DF27" i="15" s="1"/>
  <c r="CQ27" i="15" a="1"/>
  <c r="CQ27" i="15" s="1"/>
  <c r="DQ27" i="15" s="1"/>
  <c r="DR27" i="15" s="1"/>
  <c r="CK55" i="15"/>
  <c r="DE55" i="15" s="1"/>
  <c r="DF55" i="15" s="1"/>
  <c r="CQ55" i="15" a="1"/>
  <c r="CQ55" i="15" s="1"/>
  <c r="DQ55" i="15" s="1"/>
  <c r="DR55" i="15" s="1"/>
  <c r="CN55" i="15"/>
  <c r="DK55" i="15" s="1"/>
  <c r="DL55" i="15" s="1"/>
  <c r="CK18" i="15"/>
  <c r="DE18" i="15" s="1"/>
  <c r="DF18" i="15" s="1"/>
  <c r="CQ18" i="15" a="1"/>
  <c r="CQ18" i="15" s="1"/>
  <c r="DQ18" i="15" s="1"/>
  <c r="DR18" i="15" s="1"/>
  <c r="CN18" i="15"/>
  <c r="DK18" i="15" s="1"/>
  <c r="DL18" i="15" s="1"/>
  <c r="CN12" i="15"/>
  <c r="DK12" i="15" s="1"/>
  <c r="DL12" i="15" s="1"/>
  <c r="CK12" i="15"/>
  <c r="DE12" i="15" s="1"/>
  <c r="DF12" i="15" s="1"/>
  <c r="CQ12" i="15" a="1"/>
  <c r="CQ12" i="15" s="1"/>
  <c r="DQ12" i="15" s="1"/>
  <c r="DR12" i="15" s="1"/>
  <c r="CK36" i="15"/>
  <c r="DE36" i="15" s="1"/>
  <c r="DF36" i="15" s="1"/>
  <c r="CN36" i="15"/>
  <c r="DK36" i="15" s="1"/>
  <c r="DL36" i="15" s="1"/>
  <c r="CQ36" i="15" a="1"/>
  <c r="CQ36" i="15" s="1"/>
  <c r="DQ36" i="15" s="1"/>
  <c r="DR36" i="15" s="1"/>
  <c r="CN28" i="15"/>
  <c r="DK28" i="15" s="1"/>
  <c r="DL28" i="15" s="1"/>
  <c r="CK28" i="15"/>
  <c r="DE28" i="15" s="1"/>
  <c r="DF28" i="15" s="1"/>
  <c r="CQ28" i="15" a="1"/>
  <c r="CQ28" i="15" s="1"/>
  <c r="DQ28" i="15" s="1"/>
  <c r="DR28" i="15" s="1"/>
  <c r="CN9" i="15"/>
  <c r="DK9" i="15" s="1"/>
  <c r="DL9" i="15" s="1"/>
  <c r="CQ9" i="15" a="1"/>
  <c r="CQ9" i="15" s="1"/>
  <c r="DQ9" i="15" s="1"/>
  <c r="DR9" i="15" s="1"/>
  <c r="CK9" i="15"/>
  <c r="DE9" i="15" s="1"/>
  <c r="DF9" i="15" s="1"/>
  <c r="CK25" i="15"/>
  <c r="DE25" i="15" s="1"/>
  <c r="DF25" i="15" s="1"/>
  <c r="CN25" i="15"/>
  <c r="DK25" i="15" s="1"/>
  <c r="DL25" i="15" s="1"/>
  <c r="CQ25" i="15" a="1"/>
  <c r="CQ25" i="15" s="1"/>
  <c r="DQ25" i="15" s="1"/>
  <c r="DR25" i="15" s="1"/>
  <c r="CK41" i="15"/>
  <c r="DE41" i="15" s="1"/>
  <c r="DF41" i="15" s="1"/>
  <c r="CN41" i="15"/>
  <c r="DK41" i="15" s="1"/>
  <c r="DL41" i="15" s="1"/>
  <c r="CQ41" i="15" a="1"/>
  <c r="CQ41" i="15" s="1"/>
  <c r="DQ41" i="15" s="1"/>
  <c r="DR41" i="15" s="1"/>
  <c r="CK30" i="15"/>
  <c r="DE30" i="15" s="1"/>
  <c r="DF30" i="15" s="1"/>
  <c r="CQ30" i="15" a="1"/>
  <c r="CQ30" i="15" s="1"/>
  <c r="DQ30" i="15" s="1"/>
  <c r="DR30" i="15" s="1"/>
  <c r="CN30" i="15"/>
  <c r="DK30" i="15" s="1"/>
  <c r="DL30" i="15" s="1"/>
  <c r="CK43" i="15"/>
  <c r="DE43" i="15" s="1"/>
  <c r="DF43" i="15" s="1"/>
  <c r="CN43" i="15"/>
  <c r="DK43" i="15" s="1"/>
  <c r="DL43" i="15" s="1"/>
  <c r="CQ43" i="15" a="1"/>
  <c r="CQ43" i="15" s="1"/>
  <c r="DQ43" i="15" s="1"/>
  <c r="DR43" i="15" s="1"/>
  <c r="CK31" i="15"/>
  <c r="DE31" i="15" s="1"/>
  <c r="DF31" i="15" s="1"/>
  <c r="CQ31" i="15" a="1"/>
  <c r="CQ31" i="15" s="1"/>
  <c r="DQ31" i="15" s="1"/>
  <c r="DR31" i="15" s="1"/>
  <c r="CN31" i="15"/>
  <c r="DK31" i="15" s="1"/>
  <c r="DL31" i="15" s="1"/>
  <c r="CK54" i="15"/>
  <c r="DE54" i="15" s="1"/>
  <c r="DF54" i="15" s="1"/>
  <c r="CN54" i="15"/>
  <c r="DK54" i="15" s="1"/>
  <c r="DL54" i="15" s="1"/>
  <c r="CQ54" i="15" a="1"/>
  <c r="CQ54" i="15" s="1"/>
  <c r="DQ54" i="15" s="1"/>
  <c r="DR54" i="15" s="1"/>
  <c r="CK39" i="15"/>
  <c r="DE39" i="15" s="1"/>
  <c r="DF39" i="15" s="1"/>
  <c r="CN39" i="15"/>
  <c r="DK39" i="15" s="1"/>
  <c r="DL39" i="15" s="1"/>
  <c r="CQ39" i="15" a="1"/>
  <c r="CQ39" i="15" s="1"/>
  <c r="DQ39" i="15" s="1"/>
  <c r="DR39" i="15" s="1"/>
  <c r="CK51" i="15"/>
  <c r="DE51" i="15" s="1"/>
  <c r="DF51" i="15" s="1"/>
  <c r="CN51" i="15"/>
  <c r="DK51" i="15" s="1"/>
  <c r="DL51" i="15" s="1"/>
  <c r="CQ51" i="15" a="1"/>
  <c r="CQ51" i="15" s="1"/>
  <c r="DQ51" i="15" s="1"/>
  <c r="DR51" i="15" s="1"/>
  <c r="CK40" i="15"/>
  <c r="DE40" i="15" s="1"/>
  <c r="DF40" i="15" s="1"/>
  <c r="CN40" i="15"/>
  <c r="DK40" i="15" s="1"/>
  <c r="DL40" i="15" s="1"/>
  <c r="CQ40" i="15" a="1"/>
  <c r="CQ40" i="15" s="1"/>
  <c r="DQ40" i="15" s="1"/>
  <c r="DR40" i="15" s="1"/>
  <c r="CK52" i="15"/>
  <c r="DE52" i="15" s="1"/>
  <c r="DF52" i="15" s="1"/>
  <c r="CN52" i="15"/>
  <c r="DK52" i="15" s="1"/>
  <c r="DL52" i="15" s="1"/>
  <c r="CQ52" i="15" a="1"/>
  <c r="CQ52" i="15" s="1"/>
  <c r="DQ52" i="15" s="1"/>
  <c r="DR52" i="15" s="1"/>
  <c r="CK32" i="15"/>
  <c r="DE32" i="15" s="1"/>
  <c r="DF32" i="15" s="1"/>
  <c r="CN32" i="15"/>
  <c r="DK32" i="15" s="1"/>
  <c r="DL32" i="15" s="1"/>
  <c r="CQ32" i="15" a="1"/>
  <c r="CQ32" i="15" s="1"/>
  <c r="DQ32" i="15" s="1"/>
  <c r="DR32" i="15" s="1"/>
  <c r="CK13" i="15"/>
  <c r="DE13" i="15" s="1"/>
  <c r="DF13" i="15" s="1"/>
  <c r="CN13" i="15"/>
  <c r="DK13" i="15" s="1"/>
  <c r="DL13" i="15" s="1"/>
  <c r="CQ13" i="15" a="1"/>
  <c r="CQ13" i="15" s="1"/>
  <c r="DQ13" i="15" s="1"/>
  <c r="DR13" i="15" s="1"/>
  <c r="CN29" i="15"/>
  <c r="DK29" i="15" s="1"/>
  <c r="DL29" i="15" s="1"/>
  <c r="CK29" i="15"/>
  <c r="DE29" i="15" s="1"/>
  <c r="DF29" i="15" s="1"/>
  <c r="CQ29" i="15" a="1"/>
  <c r="CQ29" i="15" s="1"/>
  <c r="DQ29" i="15" s="1"/>
  <c r="DR29" i="15" s="1"/>
  <c r="CN45" i="15"/>
  <c r="DK45" i="15" s="1"/>
  <c r="DL45" i="15" s="1"/>
  <c r="CK45" i="15"/>
  <c r="DE45" i="15" s="1"/>
  <c r="DF45" i="15" s="1"/>
  <c r="CQ45" i="15" a="1"/>
  <c r="CQ45" i="15" s="1"/>
  <c r="DQ45" i="15" s="1"/>
  <c r="DR45" i="15" s="1"/>
  <c r="CN47" i="15"/>
  <c r="DK47" i="15" s="1"/>
  <c r="DL47" i="15" s="1"/>
  <c r="CK47" i="15"/>
  <c r="DE47" i="15" s="1"/>
  <c r="DF47" i="15" s="1"/>
  <c r="CQ47" i="15" a="1"/>
  <c r="CQ47" i="15" s="1"/>
  <c r="DQ47" i="15" s="1"/>
  <c r="DR47" i="15" s="1"/>
  <c r="CK11" i="15"/>
  <c r="DE11" i="15" s="1"/>
  <c r="DF11" i="15" s="1"/>
  <c r="CN11" i="15"/>
  <c r="DK11" i="15" s="1"/>
  <c r="DL11" i="15" s="1"/>
  <c r="CQ11" i="15" a="1"/>
  <c r="CQ11" i="15" s="1"/>
  <c r="DQ11" i="15" s="1"/>
  <c r="DR11" i="15" s="1"/>
  <c r="CN42" i="15"/>
  <c r="DK42" i="15" s="1"/>
  <c r="DL42" i="15" s="1"/>
  <c r="CK42" i="15"/>
  <c r="DE42" i="15" s="1"/>
  <c r="DF42" i="15" s="1"/>
  <c r="CQ42" i="15" a="1"/>
  <c r="CQ42" i="15" s="1"/>
  <c r="DQ42" i="15" s="1"/>
  <c r="DR42" i="15" s="1"/>
  <c r="CK38" i="15"/>
  <c r="DE38" i="15" s="1"/>
  <c r="DF38" i="15" s="1"/>
  <c r="CN38" i="15"/>
  <c r="DK38" i="15" s="1"/>
  <c r="DL38" i="15" s="1"/>
  <c r="CQ38" i="15" a="1"/>
  <c r="CQ38" i="15" s="1"/>
  <c r="DQ38" i="15" s="1"/>
  <c r="DR38" i="15" s="1"/>
  <c r="CK23" i="15"/>
  <c r="DE23" i="15" s="1"/>
  <c r="DF23" i="15" s="1"/>
  <c r="CN23" i="15"/>
  <c r="DK23" i="15" s="1"/>
  <c r="DL23" i="15" s="1"/>
  <c r="CQ23" i="15" a="1"/>
  <c r="CQ23" i="15" s="1"/>
  <c r="DQ23" i="15" s="1"/>
  <c r="DR23" i="15" s="1"/>
  <c r="CN35" i="15"/>
  <c r="DK35" i="15" s="1"/>
  <c r="DL35" i="15" s="1"/>
  <c r="CK35" i="15"/>
  <c r="DE35" i="15" s="1"/>
  <c r="DF35" i="15" s="1"/>
  <c r="CQ35" i="15" a="1"/>
  <c r="CQ35" i="15" s="1"/>
  <c r="DQ35" i="15" s="1"/>
  <c r="DR35" i="15" s="1"/>
  <c r="CK16" i="15"/>
  <c r="DE16" i="15" s="1"/>
  <c r="DF16" i="15" s="1"/>
  <c r="CN16" i="15"/>
  <c r="DK16" i="15" s="1"/>
  <c r="DL16" i="15" s="1"/>
  <c r="CQ16" i="15" a="1"/>
  <c r="CQ16" i="15" s="1"/>
  <c r="DQ16" i="15" s="1"/>
  <c r="DR16" i="15" s="1"/>
  <c r="CK44" i="15"/>
  <c r="DE44" i="15" s="1"/>
  <c r="DF44" i="15" s="1"/>
  <c r="CN44" i="15"/>
  <c r="DK44" i="15" s="1"/>
  <c r="DL44" i="15" s="1"/>
  <c r="CQ44" i="15" a="1"/>
  <c r="CQ44" i="15" s="1"/>
  <c r="DQ44" i="15" s="1"/>
  <c r="DR44" i="15" s="1"/>
  <c r="CQ17" i="15" a="1"/>
  <c r="CQ17" i="15" s="1"/>
  <c r="DQ17" i="15" s="1"/>
  <c r="DR17" i="15" s="1"/>
  <c r="CN17" i="15"/>
  <c r="DK17" i="15" s="1"/>
  <c r="DL17" i="15" s="1"/>
  <c r="CK17" i="15"/>
  <c r="DE17" i="15" s="1"/>
  <c r="DF17" i="15" s="1"/>
  <c r="CN33" i="15"/>
  <c r="DK33" i="15" s="1"/>
  <c r="DL33" i="15" s="1"/>
  <c r="CK33" i="15"/>
  <c r="DE33" i="15" s="1"/>
  <c r="DF33" i="15" s="1"/>
  <c r="CQ33" i="15" a="1"/>
  <c r="CQ33" i="15" s="1"/>
  <c r="DQ33" i="15" s="1"/>
  <c r="DR33" i="15" s="1"/>
  <c r="CK49" i="15"/>
  <c r="DE49" i="15" s="1"/>
  <c r="DF49" i="15" s="1"/>
  <c r="CN49" i="15"/>
  <c r="DK49" i="15" s="1"/>
  <c r="DL49" i="15" s="1"/>
  <c r="CQ49" i="15" a="1"/>
  <c r="CQ49" i="15" s="1"/>
  <c r="DQ49" i="15" s="1"/>
  <c r="DR49" i="15" s="1"/>
  <c r="CN15" i="15"/>
  <c r="DK15" i="15" s="1"/>
  <c r="DL15" i="15" s="1"/>
  <c r="CK15" i="15"/>
  <c r="DE15" i="15" s="1"/>
  <c r="DF15" i="15" s="1"/>
  <c r="CQ15" i="15" a="1"/>
  <c r="CQ15" i="15" s="1"/>
  <c r="DQ15" i="15" s="1"/>
  <c r="DR15" i="15" s="1"/>
  <c r="CQ50" i="15" a="1"/>
  <c r="CQ50" i="15" s="1"/>
  <c r="DQ50" i="15" s="1"/>
  <c r="DR50" i="15" s="1"/>
  <c r="CN50" i="15"/>
  <c r="DK50" i="15" s="1"/>
  <c r="DL50" i="15" s="1"/>
  <c r="CK50" i="15"/>
  <c r="DE50" i="15" s="1"/>
  <c r="DF50" i="15" s="1"/>
  <c r="CN10" i="15"/>
  <c r="DK10" i="15" s="1"/>
  <c r="DL10" i="15" s="1"/>
  <c r="CK10" i="15"/>
  <c r="DE10" i="15" s="1"/>
  <c r="DF10" i="15" s="1"/>
  <c r="CQ10" i="15" a="1"/>
  <c r="CQ10" i="15" s="1"/>
  <c r="DQ10" i="15" s="1"/>
  <c r="DR10" i="15" s="1"/>
  <c r="CK22" i="15"/>
  <c r="DE22" i="15" s="1"/>
  <c r="DF22" i="15" s="1"/>
  <c r="CN22" i="15"/>
  <c r="DK22" i="15" s="1"/>
  <c r="DL22" i="15" s="1"/>
  <c r="CQ22" i="15" a="1"/>
  <c r="CQ22" i="15" s="1"/>
  <c r="DQ22" i="15" s="1"/>
  <c r="DR22" i="15" s="1"/>
  <c r="CK34" i="15"/>
  <c r="DE34" i="15" s="1"/>
  <c r="DF34" i="15" s="1"/>
  <c r="CN34" i="15"/>
  <c r="DK34" i="15" s="1"/>
  <c r="DL34" i="15" s="1"/>
  <c r="CQ34" i="15" a="1"/>
  <c r="CQ34" i="15" s="1"/>
  <c r="DQ34" i="15" s="1"/>
  <c r="DR34" i="15" s="1"/>
  <c r="CK19" i="15"/>
  <c r="DE19" i="15" s="1"/>
  <c r="DF19" i="15" s="1"/>
  <c r="CN19" i="15"/>
  <c r="DK19" i="15" s="1"/>
  <c r="DL19" i="15" s="1"/>
  <c r="CQ19" i="15" a="1"/>
  <c r="CQ19" i="15" s="1"/>
  <c r="DQ19" i="15" s="1"/>
  <c r="DR19" i="15" s="1"/>
  <c r="CK24" i="15"/>
  <c r="DE24" i="15" s="1"/>
  <c r="DF24" i="15" s="1"/>
  <c r="CN24" i="15"/>
  <c r="DK24" i="15" s="1"/>
  <c r="DL24" i="15" s="1"/>
  <c r="CQ24" i="15" a="1"/>
  <c r="CQ24" i="15" s="1"/>
  <c r="DQ24" i="15" s="1"/>
  <c r="DR24" i="15" s="1"/>
  <c r="CN20" i="15"/>
  <c r="DK20" i="15" s="1"/>
  <c r="DL20" i="15" s="1"/>
  <c r="CK20" i="15"/>
  <c r="DE20" i="15" s="1"/>
  <c r="DF20" i="15" s="1"/>
  <c r="CQ20" i="15" a="1"/>
  <c r="CQ20" i="15" s="1"/>
  <c r="DQ20" i="15" s="1"/>
  <c r="DR20" i="15" s="1"/>
  <c r="CK48" i="15"/>
  <c r="DE48" i="15" s="1"/>
  <c r="DF48" i="15" s="1"/>
  <c r="CN48" i="15"/>
  <c r="DK48" i="15" s="1"/>
  <c r="DL48" i="15" s="1"/>
  <c r="CQ48" i="15" a="1"/>
  <c r="CQ48" i="15" s="1"/>
  <c r="DQ48" i="15" s="1"/>
  <c r="DR48" i="15" s="1"/>
  <c r="CK21" i="15"/>
  <c r="DE21" i="15" s="1"/>
  <c r="DF21" i="15" s="1"/>
  <c r="CN21" i="15"/>
  <c r="DK21" i="15" s="1"/>
  <c r="DL21" i="15" s="1"/>
  <c r="CQ21" i="15" a="1"/>
  <c r="CQ21" i="15" s="1"/>
  <c r="DQ21" i="15" s="1"/>
  <c r="DR21" i="15" s="1"/>
  <c r="CK37" i="15"/>
  <c r="DE37" i="15" s="1"/>
  <c r="DF37" i="15" s="1"/>
  <c r="CN37" i="15"/>
  <c r="DK37" i="15" s="1"/>
  <c r="DL37" i="15" s="1"/>
  <c r="CQ37" i="15" a="1"/>
  <c r="CQ37" i="15" s="1"/>
  <c r="DQ37" i="15" s="1"/>
  <c r="DR37" i="15" s="1"/>
  <c r="CK53" i="15"/>
  <c r="DE53" i="15" s="1"/>
  <c r="DF53" i="15" s="1"/>
  <c r="CQ53" i="15" a="1"/>
  <c r="CQ53" i="15" s="1"/>
  <c r="DQ53" i="15" s="1"/>
  <c r="DR53" i="15" s="1"/>
  <c r="CN53" i="15"/>
  <c r="DK53" i="15" s="1"/>
  <c r="DL53" i="15" s="1"/>
  <c r="CK63" i="15"/>
  <c r="DE63" i="15" s="1"/>
  <c r="DF63" i="15" s="1"/>
  <c r="CQ63" i="15" a="1"/>
  <c r="CQ63" i="15" s="1"/>
  <c r="DQ63" i="15" s="1"/>
  <c r="DR63" i="15" s="1"/>
  <c r="CN63" i="15"/>
  <c r="DK63" i="15" s="1"/>
  <c r="DL63" i="15" s="1"/>
  <c r="BR103" i="15"/>
  <c r="CK59" i="15"/>
  <c r="DE59" i="15" s="1"/>
  <c r="DF59" i="15" s="1"/>
  <c r="CN59" i="15"/>
  <c r="DK59" i="15" s="1"/>
  <c r="DL59" i="15" s="1"/>
  <c r="CQ59" i="15" a="1"/>
  <c r="CQ59" i="15" s="1"/>
  <c r="DQ59" i="15" s="1"/>
  <c r="DR59" i="15" s="1"/>
  <c r="CK61" i="15"/>
  <c r="DE61" i="15" s="1"/>
  <c r="DF61" i="15" s="1"/>
  <c r="CN61" i="15"/>
  <c r="DK61" i="15" s="1"/>
  <c r="DL61" i="15" s="1"/>
  <c r="CQ61" i="15" a="1"/>
  <c r="CQ61" i="15" s="1"/>
  <c r="DQ61" i="15" s="1"/>
  <c r="DR61" i="15" s="1"/>
  <c r="CK62" i="15"/>
  <c r="DE62" i="15" s="1"/>
  <c r="DF62" i="15" s="1"/>
  <c r="CN62" i="15"/>
  <c r="DK62" i="15" s="1"/>
  <c r="DL62" i="15" s="1"/>
  <c r="CQ62" i="15" a="1"/>
  <c r="CQ62" i="15" s="1"/>
  <c r="DQ62" i="15" s="1"/>
  <c r="DR62" i="15" s="1"/>
  <c r="CN60" i="15"/>
  <c r="DK60" i="15" s="1"/>
  <c r="DL60" i="15" s="1"/>
  <c r="CK60" i="15"/>
  <c r="DE60" i="15" s="1"/>
  <c r="DF60" i="15" s="1"/>
  <c r="CQ60" i="15" a="1"/>
  <c r="CQ60" i="15" s="1"/>
  <c r="DQ60" i="15" s="1"/>
  <c r="DR60" i="15" s="1"/>
  <c r="CI110" i="15"/>
  <c r="DT68" i="15"/>
  <c r="DN70" i="15"/>
  <c r="DO70" i="15" s="1"/>
  <c r="CI114" i="15"/>
  <c r="CK67" i="15"/>
  <c r="CQ67" i="15" a="1"/>
  <c r="CQ67" i="15" s="1"/>
  <c r="CN67" i="15"/>
  <c r="DH67" i="15"/>
  <c r="CI103" i="15"/>
  <c r="CK70" i="15"/>
  <c r="CN70" i="15"/>
  <c r="CQ70" i="15" a="1"/>
  <c r="CQ70" i="15" s="1"/>
  <c r="DH70" i="15"/>
  <c r="DI70" i="15" s="1"/>
  <c r="CI113" i="15"/>
  <c r="CK68" i="15"/>
  <c r="CN68" i="15"/>
  <c r="CQ68" i="15" a="1"/>
  <c r="CQ68" i="15" s="1"/>
  <c r="CI108" i="15"/>
  <c r="DH68" i="15"/>
  <c r="CK69" i="15"/>
  <c r="DE69" i="15" s="1"/>
  <c r="DF69" i="15" s="1"/>
  <c r="CN69" i="15"/>
  <c r="DK69" i="15" s="1"/>
  <c r="DL69" i="15" s="1"/>
  <c r="CQ69" i="15" a="1"/>
  <c r="CQ69" i="15" s="1"/>
  <c r="DQ69" i="15" s="1"/>
  <c r="DR69" i="15" s="1"/>
  <c r="CI115" i="15"/>
  <c r="DT70" i="15"/>
  <c r="DU70" i="15" s="1"/>
  <c r="CI105" i="15"/>
  <c r="DT67" i="15"/>
  <c r="DE71" i="15"/>
  <c r="DF71" i="15" s="1"/>
  <c r="CH118" i="15"/>
  <c r="CK118" i="15" s="1"/>
  <c r="AP44" i="14"/>
  <c r="AQ44" i="14"/>
  <c r="O23" i="1"/>
  <c r="O22" i="1"/>
  <c r="O11" i="1"/>
  <c r="O16" i="1"/>
  <c r="O25" i="1"/>
  <c r="O32" i="1"/>
  <c r="O15" i="1"/>
  <c r="O20" i="1"/>
  <c r="O4" i="1"/>
  <c r="O29" i="1"/>
  <c r="O19" i="1"/>
  <c r="O8" i="1"/>
  <c r="CI119" i="15" l="1"/>
  <c r="DN68" i="15"/>
  <c r="CY127" i="15" s="1"/>
  <c r="DN67" i="15"/>
  <c r="DO67" i="15" s="1"/>
  <c r="CH120" i="15"/>
  <c r="CK120" i="15" s="1"/>
  <c r="CK119" i="15"/>
  <c r="DK71" i="15"/>
  <c r="DL71" i="15" s="1"/>
  <c r="CH113" i="15"/>
  <c r="CK113" i="15" s="1"/>
  <c r="DE70" i="15"/>
  <c r="DF70" i="15" s="1"/>
  <c r="DQ68" i="15"/>
  <c r="CH110" i="15"/>
  <c r="CK110" i="15" s="1"/>
  <c r="CH104" i="15"/>
  <c r="CK104" i="15" s="1"/>
  <c r="DK67" i="15"/>
  <c r="DU67" i="15"/>
  <c r="CY112" i="15"/>
  <c r="CY120" i="15"/>
  <c r="CH109" i="15"/>
  <c r="CK109" i="15" s="1"/>
  <c r="DK68" i="15"/>
  <c r="DI67" i="15"/>
  <c r="CY110" i="15"/>
  <c r="CY118" i="15"/>
  <c r="CH105" i="15"/>
  <c r="CK105" i="15" s="1"/>
  <c r="DQ67" i="15"/>
  <c r="CY128" i="15"/>
  <c r="DU68" i="15"/>
  <c r="CZ128" i="15" s="1"/>
  <c r="DQ70" i="15"/>
  <c r="DR70" i="15" s="1"/>
  <c r="CH115" i="15"/>
  <c r="CK115" i="15" s="1"/>
  <c r="CY119" i="15"/>
  <c r="DI68" i="15"/>
  <c r="CZ126" i="15" s="1"/>
  <c r="CY126" i="15"/>
  <c r="CH108" i="15"/>
  <c r="CK108" i="15" s="1"/>
  <c r="DE68" i="15"/>
  <c r="DK70" i="15"/>
  <c r="DL70" i="15" s="1"/>
  <c r="CH114" i="15"/>
  <c r="CK114" i="15" s="1"/>
  <c r="DO68" i="15"/>
  <c r="CZ127" i="15" s="1"/>
  <c r="CH103" i="15"/>
  <c r="CK103" i="15" s="1"/>
  <c r="DE67" i="15"/>
  <c r="J18" i="1"/>
  <c r="O18" i="1"/>
  <c r="J17" i="1"/>
  <c r="O17" i="1"/>
  <c r="J21" i="1"/>
  <c r="O21" i="1"/>
  <c r="J7" i="1"/>
  <c r="O7" i="1"/>
  <c r="J14" i="1"/>
  <c r="O14" i="1"/>
  <c r="J13" i="1"/>
  <c r="O13" i="1"/>
  <c r="J6" i="1"/>
  <c r="O6" i="1"/>
  <c r="J31" i="1"/>
  <c r="O31" i="1"/>
  <c r="J10" i="1"/>
  <c r="O10" i="1"/>
  <c r="J9" i="1"/>
  <c r="O9" i="1"/>
  <c r="J24" i="1"/>
  <c r="O24" i="1"/>
  <c r="J28" i="1"/>
  <c r="O28" i="1"/>
  <c r="J30" i="1"/>
  <c r="O30" i="1"/>
  <c r="J5" i="1"/>
  <c r="O5" i="1"/>
  <c r="J27" i="1"/>
  <c r="O27" i="1"/>
  <c r="J12" i="1"/>
  <c r="O12" i="1"/>
  <c r="J26" i="1"/>
  <c r="O26" i="1"/>
  <c r="J15" i="1"/>
  <c r="J22" i="1"/>
  <c r="J19" i="1"/>
  <c r="J8" i="1"/>
  <c r="J29" i="1"/>
  <c r="J20" i="1"/>
  <c r="J32" i="1"/>
  <c r="J25" i="1"/>
  <c r="J16" i="1"/>
  <c r="J11" i="1"/>
  <c r="J23" i="1"/>
  <c r="CY111" i="15" l="1"/>
  <c r="CY116" i="15"/>
  <c r="DR67" i="15"/>
  <c r="CY108" i="15"/>
  <c r="CZ118" i="15"/>
  <c r="CZ110" i="15"/>
  <c r="CY122" i="15"/>
  <c r="DF68" i="15"/>
  <c r="CZ122" i="15" s="1"/>
  <c r="DL68" i="15"/>
  <c r="CZ123" i="15" s="1"/>
  <c r="CY123" i="15"/>
  <c r="CZ112" i="15"/>
  <c r="CZ120" i="15"/>
  <c r="CY124" i="15"/>
  <c r="DR68" i="15"/>
  <c r="CZ124" i="15" s="1"/>
  <c r="CZ111" i="15"/>
  <c r="CZ119" i="15"/>
  <c r="CY107" i="15"/>
  <c r="CY115" i="15"/>
  <c r="DL67" i="15"/>
  <c r="CY106" i="15"/>
  <c r="CY114" i="15"/>
  <c r="DF67" i="15"/>
  <c r="L15" i="12" a="1"/>
  <c r="L15" i="12" s="1"/>
  <c r="M16" i="12" s="1"/>
  <c r="CZ115" i="15" l="1"/>
  <c r="CZ107" i="15"/>
  <c r="CZ108" i="15"/>
  <c r="CZ116" i="15"/>
  <c r="CZ114" i="15"/>
  <c r="CZ106" i="15"/>
  <c r="AY8" i="15" l="1"/>
  <c r="U8" i="15"/>
  <c r="W8" i="15"/>
  <c r="DM8" i="15" s="1"/>
  <c r="BX8" i="15" l="1"/>
  <c r="AW8" i="15"/>
  <c r="AV8" i="15"/>
  <c r="DA8" i="15"/>
  <c r="X8" i="15"/>
  <c r="DG8" i="15"/>
  <c r="DS8" i="15"/>
  <c r="CI8" i="15"/>
  <c r="CR8" i="15" l="1" a="1"/>
  <c r="CR8" i="15" s="1"/>
  <c r="CQ8" i="15" a="1"/>
  <c r="CQ8" i="15" s="1"/>
  <c r="DQ8" i="15" s="1"/>
  <c r="DR8" i="15" s="1"/>
  <c r="CS8" i="15" a="1"/>
  <c r="CS8" i="15" s="1"/>
  <c r="CL8" i="15"/>
  <c r="CO8" i="15"/>
  <c r="CP8" i="15"/>
  <c r="CN8" i="15"/>
  <c r="DK8" i="15" s="1"/>
  <c r="DL8" i="15" s="1"/>
  <c r="BB8" i="15"/>
  <c r="BC8" i="15" s="1"/>
  <c r="AH8" i="15"/>
  <c r="AI8" i="15" s="1"/>
  <c r="CK8" i="15"/>
  <c r="DE8" i="15" s="1"/>
  <c r="DF8" i="15" s="1"/>
  <c r="CM8" i="15"/>
  <c r="DB8" i="15"/>
  <c r="DC8" i="15" s="1"/>
  <c r="DN8" i="15" l="1"/>
  <c r="DO8" i="15" s="1"/>
  <c r="DT8" i="15"/>
  <c r="DU8" i="15" s="1"/>
  <c r="DH8" i="15"/>
  <c r="DI8" i="15" s="1"/>
</calcChain>
</file>

<file path=xl/comments1.xml><?xml version="1.0" encoding="utf-8"?>
<comments xmlns="http://schemas.openxmlformats.org/spreadsheetml/2006/main">
  <authors>
    <author>Simon Coates</author>
    <author>simon</author>
  </authors>
  <commentList>
    <comment ref="D2" authorId="0">
      <text>
        <r>
          <rPr>
            <b/>
            <sz val="9"/>
            <color indexed="81"/>
            <rFont val="Tahoma"/>
            <family val="2"/>
          </rPr>
          <t>Simon Coates:</t>
        </r>
        <r>
          <rPr>
            <sz val="9"/>
            <color indexed="81"/>
            <rFont val="Tahoma"/>
            <family val="2"/>
          </rPr>
          <t xml:space="preserve">
Complete guess.  Should set to zero normally, but just used here to illustrate potential impact of building a 4th cable</t>
        </r>
      </text>
    </comment>
    <comment ref="K4" authorId="1">
      <text>
        <r>
          <rPr>
            <b/>
            <sz val="9"/>
            <color indexed="81"/>
            <rFont val="Tahoma"/>
            <family val="2"/>
          </rPr>
          <t>simon:</t>
        </r>
        <r>
          <rPr>
            <sz val="9"/>
            <color indexed="81"/>
            <rFont val="Tahoma"/>
            <family val="2"/>
          </rPr>
          <t xml:space="preserve">
Based on inspection of NI / SI correlation for 2005 to mid 2008 (i.e. before Tiwai and Christchurch demand interruptions)</t>
        </r>
      </text>
    </comment>
    <comment ref="D11" authorId="0">
      <text>
        <r>
          <rPr>
            <b/>
            <sz val="9"/>
            <color indexed="81"/>
            <rFont val="Tahoma"/>
            <family val="2"/>
          </rPr>
          <t>Simon Coates:</t>
        </r>
        <r>
          <rPr>
            <sz val="9"/>
            <color indexed="81"/>
            <rFont val="Tahoma"/>
            <family val="2"/>
          </rPr>
          <t xml:space="preserve">
Discussion w. Mike P
Mike C said technical capability of FKC is 250 MW which, once the modulation risk is subtracted, gives a practical limite of 220 MW.</t>
        </r>
      </text>
    </comment>
    <comment ref="D12" authorId="1">
      <text>
        <r>
          <rPr>
            <b/>
            <sz val="9"/>
            <color indexed="81"/>
            <rFont val="Tahoma"/>
            <family val="2"/>
          </rPr>
          <t>simon:</t>
        </r>
        <r>
          <rPr>
            <sz val="9"/>
            <color indexed="81"/>
            <rFont val="Tahoma"/>
            <family val="2"/>
          </rPr>
          <t xml:space="preserve">
Pole 2 is the weakest link.
See sec 3.6.3 of SysOp June 2015 FKC Trial technical report.
560 MW sent = 528 MW received.</t>
        </r>
      </text>
    </comment>
    <comment ref="D13" authorId="1">
      <text>
        <r>
          <rPr>
            <b/>
            <sz val="9"/>
            <color indexed="81"/>
            <rFont val="Tahoma"/>
            <family val="2"/>
          </rPr>
          <t>simon:</t>
        </r>
        <r>
          <rPr>
            <sz val="9"/>
            <color indexed="81"/>
            <rFont val="Tahoma"/>
            <family val="2"/>
          </rPr>
          <t xml:space="preserve">
See sec 3.7 of SysOp June 2015 FKC Trial technical report.
Modulation risk reflects risk that DC is operate off its set point to deliver normal frequency response</t>
        </r>
      </text>
    </comment>
    <comment ref="B14" authorId="1">
      <text>
        <r>
          <rPr>
            <b/>
            <sz val="9"/>
            <color indexed="81"/>
            <rFont val="Tahoma"/>
            <family val="2"/>
          </rPr>
          <t>simon:</t>
        </r>
        <r>
          <rPr>
            <sz val="9"/>
            <color indexed="81"/>
            <rFont val="Tahoma"/>
            <family val="2"/>
          </rPr>
          <t xml:space="preserve">
This is the limit of the pole for temporary operations - i.e. up to 15 min in order to provide reserve cover.</t>
        </r>
      </text>
    </comment>
    <comment ref="B15" authorId="1">
      <text>
        <r>
          <rPr>
            <b/>
            <sz val="9"/>
            <color indexed="81"/>
            <rFont val="Tahoma"/>
            <family val="2"/>
          </rPr>
          <t>simon:</t>
        </r>
        <r>
          <rPr>
            <sz val="9"/>
            <color indexed="81"/>
            <rFont val="Tahoma"/>
            <family val="2"/>
          </rPr>
          <t xml:space="preserve">
Typically e3p at full output at moment (i.e. 400 MW)
If all CCGTs retired, would either be Huntly Rankine unit (250 MW) or if they also went next largest would be Rotokawa (140 MW)</t>
        </r>
      </text>
    </comment>
  </commentList>
</comments>
</file>

<file path=xl/comments2.xml><?xml version="1.0" encoding="utf-8"?>
<comments xmlns="http://schemas.openxmlformats.org/spreadsheetml/2006/main">
  <authors>
    <author>Simon Coates</author>
  </authors>
  <commentList>
    <comment ref="E3" authorId="0">
      <text>
        <r>
          <rPr>
            <b/>
            <sz val="9"/>
            <color indexed="81"/>
            <rFont val="Tahoma"/>
            <family val="2"/>
          </rPr>
          <t>Simon Coates:</t>
        </r>
        <r>
          <rPr>
            <sz val="9"/>
            <color indexed="81"/>
            <rFont val="Tahoma"/>
            <family val="2"/>
          </rPr>
          <t xml:space="preserve">
See section 3.6-7 of June 2015 FKC trial technical report.</t>
        </r>
      </text>
    </comment>
    <comment ref="AA289" authorId="0">
      <text>
        <r>
          <rPr>
            <b/>
            <sz val="9"/>
            <color indexed="81"/>
            <rFont val="Tahoma"/>
            <family val="2"/>
          </rPr>
          <t>Simon Coates:</t>
        </r>
        <r>
          <rPr>
            <sz val="9"/>
            <color indexed="81"/>
            <rFont val="Tahoma"/>
            <family val="2"/>
          </rPr>
          <t xml:space="preserve">
From Generation units over 60MW_v02</t>
        </r>
      </text>
    </comment>
    <comment ref="BE299" authorId="0">
      <text>
        <r>
          <rPr>
            <b/>
            <sz val="9"/>
            <color indexed="81"/>
            <rFont val="Tahoma"/>
            <family val="2"/>
          </rPr>
          <t>Simon Coates:</t>
        </r>
        <r>
          <rPr>
            <sz val="9"/>
            <color indexed="81"/>
            <rFont val="Tahoma"/>
            <family val="2"/>
          </rPr>
          <t xml:space="preserve">
Divide by 2 because only a half-hour.</t>
        </r>
      </text>
    </comment>
  </commentList>
</comments>
</file>

<file path=xl/comments3.xml><?xml version="1.0" encoding="utf-8"?>
<comments xmlns="http://schemas.openxmlformats.org/spreadsheetml/2006/main">
  <authors>
    <author>Simon Coates</author>
    <author>simon</author>
  </authors>
  <commentList>
    <comment ref="A10" authorId="0">
      <text>
        <r>
          <rPr>
            <b/>
            <sz val="9"/>
            <color indexed="81"/>
            <rFont val="Tahoma"/>
            <family val="2"/>
          </rPr>
          <t>Simon Coates:</t>
        </r>
        <r>
          <rPr>
            <sz val="9"/>
            <color indexed="81"/>
            <rFont val="Tahoma"/>
            <family val="2"/>
          </rPr>
          <t xml:space="preserve">
SELECT company, gxp, station, unit, speed, AVG(Pwr) AS AvgPwr, MAX(Pwr) AS MaxPwr FROM
(SELECT company, record_Date, halfhour_number, gxp, station, unit, speed, SUM(POWER) AS Pwr FROM `wits_allreserves`
WHERE gxp IN ('HLY2201', 'SWN2201', 'SFD2201', 'GLN0332', 'KAW0111', 'KIN0112', 'TMU1101', 'TWH0331', 'HWA1102', 'MKE1101', 'WHI2201')
AND record_Date &gt;= '2015-01-01'
GROUP BY company, record_Date, halfhour_number,gxp, station, unit, speed) a
GROUP BY company,gxp, station, unit, speed;</t>
        </r>
      </text>
    </comment>
    <comment ref="H43" authorId="1">
      <text>
        <r>
          <rPr>
            <b/>
            <sz val="9"/>
            <color indexed="81"/>
            <rFont val="Tahoma"/>
            <family val="2"/>
          </rPr>
          <t>simon:</t>
        </r>
        <r>
          <rPr>
            <sz val="9"/>
            <color indexed="81"/>
            <rFont val="Tahoma"/>
            <family val="2"/>
          </rPr>
          <t xml:space="preserve">
2,850 based on inspection of maximum ever coincident SI generation output.</t>
        </r>
      </text>
    </comment>
  </commentList>
</comments>
</file>

<file path=xl/comments4.xml><?xml version="1.0" encoding="utf-8"?>
<comments xmlns="http://schemas.openxmlformats.org/spreadsheetml/2006/main">
  <authors>
    <author>Simon Coates</author>
  </authors>
  <commentList>
    <comment ref="C1" authorId="0">
      <text>
        <r>
          <rPr>
            <b/>
            <sz val="9"/>
            <color indexed="81"/>
            <rFont val="Tahoma"/>
            <family val="2"/>
          </rPr>
          <t>Simon Coates:</t>
        </r>
        <r>
          <rPr>
            <sz val="9"/>
            <color indexed="81"/>
            <rFont val="Tahoma"/>
            <family val="2"/>
          </rPr>
          <t xml:space="preserve">
Could do 220 less 5% losses to reflect SIR capability </t>
        </r>
        <r>
          <rPr>
            <u/>
            <sz val="9"/>
            <color indexed="81"/>
            <rFont val="Tahoma"/>
            <family val="2"/>
          </rPr>
          <t>received</t>
        </r>
        <r>
          <rPr>
            <sz val="9"/>
            <color indexed="81"/>
            <rFont val="Tahoma"/>
            <family val="2"/>
          </rPr>
          <t>.</t>
        </r>
      </text>
    </comment>
    <comment ref="BX6" authorId="0">
      <text>
        <r>
          <rPr>
            <b/>
            <sz val="9"/>
            <color indexed="81"/>
            <rFont val="Tahoma"/>
            <family val="2"/>
          </rPr>
          <t>Simon Coates:</t>
        </r>
        <r>
          <rPr>
            <sz val="9"/>
            <color indexed="81"/>
            <rFont val="Tahoma"/>
            <family val="2"/>
          </rPr>
          <t xml:space="preserve">
Option C in March 2016 consultation</t>
        </r>
      </text>
    </comment>
    <comment ref="CN6" authorId="0">
      <text>
        <r>
          <rPr>
            <b/>
            <sz val="9"/>
            <color indexed="81"/>
            <rFont val="Tahoma"/>
            <family val="2"/>
          </rPr>
          <t>Simon Coates:</t>
        </r>
        <r>
          <rPr>
            <sz val="9"/>
            <color indexed="81"/>
            <rFont val="Tahoma"/>
            <family val="2"/>
          </rPr>
          <t xml:space="preserve">
Option C in March 2016 consultation</t>
        </r>
      </text>
    </comment>
    <comment ref="A7" authorId="0">
      <text>
        <r>
          <rPr>
            <b/>
            <sz val="9"/>
            <color indexed="81"/>
            <rFont val="Tahoma"/>
            <family val="2"/>
          </rPr>
          <t>Simon Coates:</t>
        </r>
        <r>
          <rPr>
            <sz val="9"/>
            <color indexed="81"/>
            <rFont val="Tahoma"/>
            <family val="2"/>
          </rPr>
          <t xml:space="preserve">
Ideally Make this in increments of 100 above 600 MW.  For lookup purposes for therunway illustration</t>
        </r>
      </text>
    </comment>
    <comment ref="Q7" authorId="0">
      <text>
        <r>
          <rPr>
            <b/>
            <sz val="9"/>
            <color indexed="81"/>
            <rFont val="Tahoma"/>
            <family val="2"/>
          </rPr>
          <t>Simon Coates:</t>
        </r>
        <r>
          <rPr>
            <sz val="9"/>
            <color indexed="81"/>
            <rFont val="Tahoma"/>
            <family val="2"/>
          </rPr>
          <t xml:space="preserve">
It is infeasible to not have price separation in a situation where high HVDC energy transfers means that all IR needs to be procured in the receiving island.</t>
        </r>
      </text>
    </comment>
    <comment ref="BW7" authorId="0">
      <text>
        <r>
          <rPr>
            <b/>
            <sz val="9"/>
            <color indexed="81"/>
            <rFont val="Tahoma"/>
            <family val="2"/>
          </rPr>
          <t>Simon Coates:</t>
        </r>
        <r>
          <rPr>
            <sz val="9"/>
            <color indexed="81"/>
            <rFont val="Tahoma"/>
            <family val="2"/>
          </rPr>
          <t xml:space="preserve">
The divide by 8 term for the second half of the runway approach is to crudely estimate the proportion which wasn't solely attributable to the HVDC which would be picked up by the HVDC as its share.</t>
        </r>
      </text>
    </comment>
  </commentList>
</comments>
</file>

<file path=xl/comments5.xml><?xml version="1.0" encoding="utf-8"?>
<comments xmlns="http://schemas.openxmlformats.org/spreadsheetml/2006/main">
  <authors>
    <author>Simon Coates</author>
  </authors>
  <commentList>
    <comment ref="A3" authorId="0">
      <text>
        <r>
          <rPr>
            <b/>
            <sz val="9"/>
            <color indexed="81"/>
            <rFont val="Tahoma"/>
            <family val="2"/>
          </rPr>
          <t>Simon Coates:</t>
        </r>
        <r>
          <rPr>
            <sz val="9"/>
            <color indexed="81"/>
            <rFont val="Tahoma"/>
            <family val="2"/>
          </rPr>
          <t xml:space="preserve">
From Generation units over 60MW_v02</t>
        </r>
      </text>
    </comment>
    <comment ref="G3" authorId="0">
      <text>
        <r>
          <rPr>
            <b/>
            <sz val="9"/>
            <color indexed="81"/>
            <rFont val="Tahoma"/>
            <family val="2"/>
          </rPr>
          <t>Simon Coates:</t>
        </r>
        <r>
          <rPr>
            <sz val="9"/>
            <color indexed="81"/>
            <rFont val="Tahoma"/>
            <family val="2"/>
          </rPr>
          <t xml:space="preserve">
On the Rotokawa geothermal field.  Note: There is a smaller (38 MW) Rotokawa power station as well.</t>
        </r>
      </text>
    </comment>
    <comment ref="A40" authorId="0">
      <text>
        <r>
          <rPr>
            <b/>
            <sz val="9"/>
            <color indexed="81"/>
            <rFont val="Tahoma"/>
            <family val="2"/>
          </rPr>
          <t>Simon Coates:</t>
        </r>
        <r>
          <rPr>
            <sz val="9"/>
            <color indexed="81"/>
            <rFont val="Tahoma"/>
            <family val="2"/>
          </rPr>
          <t xml:space="preserve">
Takes no account of de minimis</t>
        </r>
      </text>
    </comment>
  </commentList>
</comments>
</file>

<file path=xl/sharedStrings.xml><?xml version="1.0" encoding="utf-8"?>
<sst xmlns="http://schemas.openxmlformats.org/spreadsheetml/2006/main" count="559" uniqueCount="261">
  <si>
    <t>BookName</t>
  </si>
  <si>
    <t>AC CE (MW)</t>
  </si>
  <si>
    <t>Assumptions</t>
  </si>
  <si>
    <t>Benefit of NIRM</t>
  </si>
  <si>
    <t>Average SI reserve used to displace NI</t>
  </si>
  <si>
    <t>Cost of displaced NI ($/MW/h)</t>
  </si>
  <si>
    <t>Annual cost saving ($m)</t>
  </si>
  <si>
    <t>Modulation risk</t>
  </si>
  <si>
    <t>Total HVDC transfer (MW) (received)</t>
  </si>
  <si>
    <t>Maximum available spare ca[pacity (MW)</t>
  </si>
  <si>
    <t>Delta in NI IR required</t>
  </si>
  <si>
    <t>NI demand (MW)</t>
  </si>
  <si>
    <t>Spare for reserve to cover AC CE</t>
  </si>
  <si>
    <t>Pole 2</t>
  </si>
  <si>
    <t>Pole 3</t>
  </si>
  <si>
    <t>Losses</t>
  </si>
  <si>
    <t xml:space="preserve">15 minute overload capacity, sent (MW) </t>
  </si>
  <si>
    <t>Total</t>
  </si>
  <si>
    <t>Received</t>
  </si>
  <si>
    <t>SI Dem relationship w. NI Dem</t>
  </si>
  <si>
    <t>c Tiwai</t>
  </si>
  <si>
    <t>c non Tiwai</t>
  </si>
  <si>
    <t>Delta range at max (MW)</t>
  </si>
  <si>
    <t>m (SI MW per NI MW)</t>
  </si>
  <si>
    <t>c (MW)</t>
  </si>
  <si>
    <t>Max SI demand</t>
  </si>
  <si>
    <t>SI Max gen</t>
  </si>
  <si>
    <t>Plus extra released by TPM</t>
  </si>
  <si>
    <t>SI Gen</t>
  </si>
  <si>
    <t>Available to send</t>
  </si>
  <si>
    <t>HVDC sent</t>
  </si>
  <si>
    <t>MW</t>
  </si>
  <si>
    <t>Total NI cap required</t>
  </si>
  <si>
    <t>Waitaki</t>
  </si>
  <si>
    <t>Table 6 &amp; 7 from Feb 2016 Sys Op Annual SoS assessment</t>
  </si>
  <si>
    <t>Clutha</t>
  </si>
  <si>
    <t>Table 7</t>
  </si>
  <si>
    <t>Table 6</t>
  </si>
  <si>
    <t>Branch</t>
  </si>
  <si>
    <t>Cobb</t>
  </si>
  <si>
    <t>Coleridge</t>
  </si>
  <si>
    <t>Deep Stream</t>
  </si>
  <si>
    <t>Highbank</t>
  </si>
  <si>
    <t>Kumara</t>
  </si>
  <si>
    <t>Mahinerangi</t>
  </si>
  <si>
    <t>Manapouri</t>
  </si>
  <si>
    <t>Paerau</t>
  </si>
  <si>
    <t>Waipori</t>
  </si>
  <si>
    <t>Whitehill</t>
  </si>
  <si>
    <t>What</t>
  </si>
  <si>
    <t>Hydro</t>
  </si>
  <si>
    <t>Nameplate (MW)</t>
  </si>
  <si>
    <t>Capacity contribution (MW)</t>
  </si>
  <si>
    <t>Wind</t>
  </si>
  <si>
    <t>Existing SI Capacity available to meet NI peak</t>
  </si>
  <si>
    <t>Available to be received</t>
  </si>
  <si>
    <t>Net capacity capable of being received</t>
  </si>
  <si>
    <t>Unusable HVDC range because of SI supply / demand balance</t>
  </si>
  <si>
    <t>TCC</t>
  </si>
  <si>
    <t>Glenbrook</t>
  </si>
  <si>
    <t>Te Mihi</t>
  </si>
  <si>
    <t>Rotokawa</t>
  </si>
  <si>
    <t>Kawerau</t>
  </si>
  <si>
    <t>HVDC</t>
  </si>
  <si>
    <t>NI IL avail</t>
  </si>
  <si>
    <t>NI spinning reserve required (MW)</t>
  </si>
  <si>
    <t>NI gen cap required for energy</t>
  </si>
  <si>
    <t xml:space="preserve">NI gen cap required for IR </t>
  </si>
  <si>
    <t>Max HVDC IR transfer capacity</t>
  </si>
  <si>
    <t>company</t>
  </si>
  <si>
    <t>gxp</t>
  </si>
  <si>
    <t>station</t>
  </si>
  <si>
    <t>unit</t>
  </si>
  <si>
    <t>speed</t>
  </si>
  <si>
    <t>CTCT</t>
  </si>
  <si>
    <t>SFD2201</t>
  </si>
  <si>
    <t>SFD</t>
  </si>
  <si>
    <t>FIR</t>
  </si>
  <si>
    <t>SIR</t>
  </si>
  <si>
    <t>SPL</t>
  </si>
  <si>
    <t>GENE</t>
  </si>
  <si>
    <t>HLY2201</t>
  </si>
  <si>
    <t>HLY</t>
  </si>
  <si>
    <t>SKOG</t>
  </si>
  <si>
    <t>KAW0111</t>
  </si>
  <si>
    <t>n/a</t>
  </si>
  <si>
    <t>AvgPwr</t>
  </si>
  <si>
    <t>MaxPwr</t>
  </si>
  <si>
    <t>Query to consider extent to which thermal plant are likely to be available to offer reserve</t>
  </si>
  <si>
    <t>c.f. original analysis</t>
  </si>
  <si>
    <t>&lt;-- Mike P said could increase extent of self-cover if built 4th cable</t>
  </si>
  <si>
    <t>Resultant NI capacity required (MW)</t>
  </si>
  <si>
    <t>With HVDC</t>
  </si>
  <si>
    <t>Without HVDC</t>
  </si>
  <si>
    <t>~~~</t>
  </si>
  <si>
    <t>Station</t>
  </si>
  <si>
    <t>Meridian</t>
  </si>
  <si>
    <t>Genesis</t>
  </si>
  <si>
    <t>Mighty River Power</t>
  </si>
  <si>
    <t>Contact</t>
  </si>
  <si>
    <t>Alinta</t>
  </si>
  <si>
    <t>Clutha -Clyde</t>
  </si>
  <si>
    <t>Waitaki - Ohau</t>
  </si>
  <si>
    <t>Waitaki - Pukaki</t>
  </si>
  <si>
    <t>Huntly - e3p</t>
  </si>
  <si>
    <t>Huntly units 1-4</t>
  </si>
  <si>
    <t>Stratford</t>
  </si>
  <si>
    <t>Capacity</t>
  </si>
  <si>
    <t># units</t>
  </si>
  <si>
    <t>Unit size (MW)</t>
  </si>
  <si>
    <t>Owner</t>
  </si>
  <si>
    <t>Type</t>
  </si>
  <si>
    <t>Geo</t>
  </si>
  <si>
    <t>Thermal</t>
  </si>
  <si>
    <t>Waitaki - Benmore</t>
  </si>
  <si>
    <t>Island</t>
  </si>
  <si>
    <t>N</t>
  </si>
  <si>
    <t>S</t>
  </si>
  <si>
    <t>Graph area.  (See below for looking at scenarios of cost allocation)</t>
  </si>
  <si>
    <t>Cost allocation scenarios</t>
  </si>
  <si>
    <t>Headings for scenario area below</t>
  </si>
  <si>
    <t>Average unit output</t>
  </si>
  <si>
    <t>AC CE</t>
  </si>
  <si>
    <t>Simulated extra for Pole 2 if build 4th cable of extra 200 (MW)</t>
  </si>
  <si>
    <t xml:space="preserve">15 minute overload additional capacity for each pole, sent (MW) </t>
  </si>
  <si>
    <t>Single pole normal limit  (inluding any overload) (received MW)</t>
  </si>
  <si>
    <t>DC CE</t>
  </si>
  <si>
    <t>Risk</t>
  </si>
  <si>
    <t>DC received</t>
  </si>
  <si>
    <t>IR N--&gt; S</t>
  </si>
  <si>
    <t>IR S--&gt;N</t>
  </si>
  <si>
    <t>Reserve procured from other island</t>
  </si>
  <si>
    <t>Reserve procured from own island</t>
  </si>
  <si>
    <t>Able to be provided</t>
  </si>
  <si>
    <t>Total IR provided (MW)</t>
  </si>
  <si>
    <t>Price of IR ($/MW/hr)</t>
  </si>
  <si>
    <t>Cost ($)</t>
  </si>
  <si>
    <t>Tot</t>
  </si>
  <si>
    <t>Cost in TP ($)</t>
  </si>
  <si>
    <t>Own</t>
  </si>
  <si>
    <t>Other</t>
  </si>
  <si>
    <t>Reserve procured from own or other island to meet own risk</t>
  </si>
  <si>
    <t>CE</t>
  </si>
  <si>
    <t>Quantity (MW)</t>
  </si>
  <si>
    <t>Price ($/MW/hr)</t>
  </si>
  <si>
    <t>Island Risk (MW)</t>
  </si>
  <si>
    <t>de minimis</t>
  </si>
  <si>
    <t>DC</t>
  </si>
  <si>
    <t>Cost to island causer</t>
  </si>
  <si>
    <t>Share of national (pro-rata)</t>
  </si>
  <si>
    <t>B</t>
  </si>
  <si>
    <t>Share of island</t>
  </si>
  <si>
    <t>NI_IR 4 NI_Risk</t>
  </si>
  <si>
    <t>NI_IR 4 shared_risk</t>
  </si>
  <si>
    <t>NI_IR 4 SI_Risk</t>
  </si>
  <si>
    <t>SI_IR 4 NI_Risk</t>
  </si>
  <si>
    <t>SI_IR 4 shared_risk</t>
  </si>
  <si>
    <t>SI_IR 4 SI_Risk</t>
  </si>
  <si>
    <t>IR Cost allocation</t>
  </si>
  <si>
    <t>Net</t>
  </si>
  <si>
    <t>Earned</t>
  </si>
  <si>
    <t>Allocated</t>
  </si>
  <si>
    <t>Unit:</t>
  </si>
  <si>
    <t>HVDC received</t>
  </si>
  <si>
    <t>Gen risk (MW)</t>
  </si>
  <si>
    <t>Total capacity above de minimis (MW)</t>
  </si>
  <si>
    <t>North</t>
  </si>
  <si>
    <t>South</t>
  </si>
  <si>
    <t>North 2 gen.</t>
  </si>
  <si>
    <t>South 2 gen.</t>
  </si>
  <si>
    <t>National</t>
  </si>
  <si>
    <t>Factored by sharing limit</t>
  </si>
  <si>
    <t>South via HVDC</t>
  </si>
  <si>
    <t>Offset</t>
  </si>
  <si>
    <t>Above de minimis</t>
  </si>
  <si>
    <t>Choose capacity (0) or above de minimis (1)</t>
  </si>
  <si>
    <t>HVDC CE risk</t>
  </si>
  <si>
    <t>Total gen. above de minimis (excl. HVDC)</t>
  </si>
  <si>
    <t>Max gen.</t>
  </si>
  <si>
    <t>HVDC transfer level, received (MW)</t>
  </si>
  <si>
    <t xml:space="preserve"> IR Transferred North on HVDC</t>
  </si>
  <si>
    <t>Quantity of SI IR which is cheaper than NI IR (MW)</t>
  </si>
  <si>
    <t>Physical transfer limit of IR across HVDC (MW)</t>
  </si>
  <si>
    <t>HVDC risk</t>
  </si>
  <si>
    <t>NI DC CE risk (MW)</t>
  </si>
  <si>
    <t>Physical transfer limit across DC</t>
  </si>
  <si>
    <t>Actual transfer limit of IR North across HVDC (MW) i.e. factored by ability to deliver IR given extent of HVDC going North</t>
  </si>
  <si>
    <t>Max DC received</t>
  </si>
  <si>
    <t>Share of total cost allocated nationally</t>
  </si>
  <si>
    <t>Residual share to SI</t>
  </si>
  <si>
    <t>National rank</t>
  </si>
  <si>
    <t>Col offset</t>
  </si>
  <si>
    <t>Size</t>
  </si>
  <si>
    <t>Name</t>
  </si>
  <si>
    <t>Incremental risk</t>
  </si>
  <si>
    <t>Cost allocation proportions</t>
  </si>
  <si>
    <t>Transpower</t>
  </si>
  <si>
    <t>Mercury</t>
  </si>
  <si>
    <t>Factor</t>
  </si>
  <si>
    <t>Waitaki - Tekapo</t>
  </si>
  <si>
    <t>Stratford pkrs</t>
  </si>
  <si>
    <t>Huntly Rankines</t>
  </si>
  <si>
    <t>Illustrate IR transfer capability of HVDC</t>
  </si>
  <si>
    <t>Illustrate impact of high HVDC transfers</t>
  </si>
  <si>
    <t>HVDC transfer</t>
  </si>
  <si>
    <t>Impact of different transfer levels</t>
  </si>
  <si>
    <t>NI_IR_4_NI_DC_CE</t>
  </si>
  <si>
    <t>Which example to look at:  IR transfer capability (0) or Imapct of high HVDC transfers (1)</t>
  </si>
  <si>
    <t>IR transfer capability of HVDC</t>
  </si>
  <si>
    <t>Geothermal</t>
  </si>
  <si>
    <t>All</t>
  </si>
  <si>
    <t>National runway allocation share</t>
  </si>
  <si>
    <t>Pro-rata Unit output (MW)</t>
  </si>
  <si>
    <t>NI</t>
  </si>
  <si>
    <t>NI individual generators</t>
  </si>
  <si>
    <t>Section 8.2 from Feb 2016 annual security assessment</t>
  </si>
  <si>
    <t>Assumed contribution to capacity margins</t>
  </si>
  <si>
    <t>SI Individual generators</t>
  </si>
  <si>
    <t>NI schemes</t>
  </si>
  <si>
    <t>SI schemes</t>
  </si>
  <si>
    <t>SI</t>
  </si>
  <si>
    <t>NZ</t>
  </si>
  <si>
    <t>HVDC energy transfer (MW)</t>
  </si>
  <si>
    <t>AC</t>
  </si>
  <si>
    <t>NI_IR_4_NI_CE</t>
  </si>
  <si>
    <t>NI_IR 4 shared_AC_risk</t>
  </si>
  <si>
    <t>NI_IR 4 SI_AC_Risk</t>
  </si>
  <si>
    <t>SI_IR 4 NI_AC_Risk</t>
  </si>
  <si>
    <t>SI_IR 4 shared_AC_risk</t>
  </si>
  <si>
    <t>Island (North/South/Both)</t>
  </si>
  <si>
    <t>Risk type: AC or DC or Both</t>
  </si>
  <si>
    <t>Sharing of IR procured for shared, across AC risks only</t>
  </si>
  <si>
    <t>NEED TO GET THIS FORMULA REFERRING TO THE TRANSFER = 0 OPTION FOR ALL CASES!</t>
  </si>
  <si>
    <t>Cost to DC then island</t>
  </si>
  <si>
    <t>Feasibility of scenario</t>
  </si>
  <si>
    <t>North gen. &gt; de minimis</t>
  </si>
  <si>
    <t>South gen. &gt; de minimis</t>
  </si>
  <si>
    <t>Max transfer of HVDC for illustration</t>
  </si>
  <si>
    <t>Risk from largest NI gen. (NI AC CE)</t>
  </si>
  <si>
    <t>Risk from HVDC (NI DC CE)</t>
  </si>
  <si>
    <t>Min NI IR required to meet NI AC CE (AC risk minus max. possible IR transfer across DC)</t>
  </si>
  <si>
    <t>Min IR which must be procured in NI</t>
  </si>
  <si>
    <t>Total IR procured across both islands</t>
  </si>
  <si>
    <t>Max possible SI IR which can be transferred across DC to meet NI AC CE</t>
  </si>
  <si>
    <t>Nga Awa Purua</t>
  </si>
  <si>
    <t>Runway Unit output</t>
  </si>
  <si>
    <t>Total runway allocation</t>
  </si>
  <si>
    <t>Pro-rata (P) or Runway ®</t>
  </si>
  <si>
    <t>R</t>
  </si>
  <si>
    <t>Share of Total</t>
  </si>
  <si>
    <t>Share of Non-HVDC total</t>
  </si>
  <si>
    <t>0 = No large thermals</t>
  </si>
  <si>
    <t>1 = With large thermals</t>
  </si>
  <si>
    <t>With large thermals (1) or without large thermals (0)</t>
  </si>
  <si>
    <t>HVDC Energy transfer</t>
  </si>
  <si>
    <t>Hard-wired runway allocatino - for use in illustration of cost allcoatino outcomes</t>
  </si>
  <si>
    <t>National Runway allocation</t>
  </si>
  <si>
    <t>Within-island</t>
  </si>
  <si>
    <t>Runway allocation offset number</t>
  </si>
  <si>
    <t>Energy transfer across HVDC
[NI DC CE risk]</t>
  </si>
  <si>
    <t>HVDC Self IR Cover_v12_2publish.xlsm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</si>
</sst>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0_ ;[Red]\-#,##0\ "/>
    <numFmt numFmtId="165" formatCode="0.0%"/>
    <numFmt numFmtId="166" formatCode="#,##0.0_ ;[Red]\-#,##0.0\ "/>
  </numFmts>
  <fonts count="16" x14ac:knownFonts="1">
    <font>
      <sz val="11"/>
      <color theme="1"/>
      <name val="Calibri"/>
      <family val="2"/>
      <scheme val="minor"/>
    </font>
    <font>
      <sz val="11"/>
      <color theme="1"/>
      <name val="Calibri"/>
      <family val="2"/>
      <scheme val="minor"/>
    </font>
    <font>
      <sz val="11"/>
      <color theme="4"/>
      <name val="Calibri"/>
      <family val="2"/>
      <scheme val="minor"/>
    </font>
    <font>
      <b/>
      <sz val="11"/>
      <color theme="1"/>
      <name val="Calibri"/>
      <family val="2"/>
      <scheme val="minor"/>
    </font>
    <font>
      <sz val="9"/>
      <color indexed="81"/>
      <name val="Tahoma"/>
      <family val="2"/>
    </font>
    <font>
      <b/>
      <sz val="9"/>
      <color indexed="81"/>
      <name val="Tahoma"/>
      <family val="2"/>
    </font>
    <font>
      <sz val="11"/>
      <color theme="6"/>
      <name val="Calibri"/>
      <family val="2"/>
      <scheme val="minor"/>
    </font>
    <font>
      <sz val="11"/>
      <name val="Calibri"/>
      <family val="2"/>
      <scheme val="minor"/>
    </font>
    <font>
      <sz val="11"/>
      <color theme="7"/>
      <name val="Calibri"/>
      <family val="2"/>
      <scheme val="minor"/>
    </font>
    <font>
      <sz val="11"/>
      <color theme="5"/>
      <name val="Calibri"/>
      <family val="2"/>
      <scheme val="minor"/>
    </font>
    <font>
      <sz val="11"/>
      <color theme="9"/>
      <name val="Calibri"/>
      <family val="2"/>
      <scheme val="minor"/>
    </font>
    <font>
      <sz val="11"/>
      <color theme="0"/>
      <name val="Calibri"/>
      <family val="2"/>
      <scheme val="minor"/>
    </font>
    <font>
      <b/>
      <i/>
      <sz val="11"/>
      <color theme="1"/>
      <name val="Calibri"/>
      <family val="2"/>
      <scheme val="minor"/>
    </font>
    <font>
      <sz val="11"/>
      <color theme="9" tint="-0.499984740745262"/>
      <name val="Calibri"/>
      <family val="2"/>
      <scheme val="minor"/>
    </font>
    <font>
      <u/>
      <sz val="5.05"/>
      <color theme="4"/>
      <name val="Calibri"/>
      <family val="2"/>
    </font>
    <font>
      <u/>
      <sz val="9"/>
      <color indexed="81"/>
      <name val="Tahoma"/>
      <family val="2"/>
    </font>
  </fonts>
  <fills count="6">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6" tint="0.79998168889431442"/>
        <bgColor indexed="64"/>
      </patternFill>
    </fill>
    <fill>
      <patternFill patternType="solid">
        <fgColor rgb="FFFFFF00"/>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65">
    <xf numFmtId="0" fontId="0" fillId="0" borderId="0" xfId="0"/>
    <xf numFmtId="0" fontId="2" fillId="0" borderId="0" xfId="0" applyFont="1"/>
    <xf numFmtId="9" fontId="0" fillId="0" borderId="0" xfId="2" applyFont="1"/>
    <xf numFmtId="0" fontId="0" fillId="0" borderId="0" xfId="0" applyAlignment="1">
      <alignment wrapText="1"/>
    </xf>
    <xf numFmtId="0" fontId="3" fillId="0" borderId="0" xfId="0" applyFont="1"/>
    <xf numFmtId="0" fontId="6" fillId="0" borderId="0" xfId="0" applyFont="1"/>
    <xf numFmtId="9" fontId="2" fillId="0" borderId="0" xfId="0" applyNumberFormat="1" applyFont="1"/>
    <xf numFmtId="164" fontId="0" fillId="0" borderId="0" xfId="1" applyFont="1"/>
    <xf numFmtId="164" fontId="2" fillId="0" borderId="0" xfId="1" applyFont="1"/>
    <xf numFmtId="164" fontId="0" fillId="0" borderId="0" xfId="0" applyNumberFormat="1"/>
    <xf numFmtId="0" fontId="3" fillId="0" borderId="0" xfId="0" applyFont="1" applyAlignment="1">
      <alignment horizontal="right"/>
    </xf>
    <xf numFmtId="0" fontId="7" fillId="0" borderId="0" xfId="0" applyFont="1" applyAlignment="1">
      <alignment horizontal="right"/>
    </xf>
    <xf numFmtId="0" fontId="0" fillId="0" borderId="0" xfId="0" applyAlignment="1">
      <alignment horizontal="right"/>
    </xf>
    <xf numFmtId="165" fontId="0" fillId="0" borderId="0" xfId="2" applyNumberFormat="1" applyFont="1"/>
    <xf numFmtId="0" fontId="7" fillId="0" borderId="0" xfId="0" applyFont="1"/>
    <xf numFmtId="164" fontId="7" fillId="0" borderId="0" xfId="1" applyFont="1"/>
    <xf numFmtId="0" fontId="8" fillId="0" borderId="0" xfId="0" applyFont="1"/>
    <xf numFmtId="41" fontId="2" fillId="0" borderId="0" xfId="3" applyFont="1"/>
    <xf numFmtId="41" fontId="0" fillId="0" borderId="0" xfId="0" applyNumberFormat="1"/>
    <xf numFmtId="0" fontId="2" fillId="2" borderId="0" xfId="0" applyFont="1" applyFill="1"/>
    <xf numFmtId="164" fontId="0" fillId="2" borderId="0" xfId="0" applyNumberFormat="1" applyFill="1"/>
    <xf numFmtId="164" fontId="2" fillId="2" borderId="0" xfId="1" applyFont="1" applyFill="1"/>
    <xf numFmtId="166" fontId="0" fillId="0" borderId="0" xfId="1" applyNumberFormat="1" applyFont="1"/>
    <xf numFmtId="41" fontId="8" fillId="0" borderId="0" xfId="0" applyNumberFormat="1" applyFont="1"/>
    <xf numFmtId="165" fontId="6" fillId="0" borderId="0" xfId="2" applyNumberFormat="1" applyFont="1"/>
    <xf numFmtId="0" fontId="9" fillId="0" borderId="0" xfId="0" applyFont="1"/>
    <xf numFmtId="164" fontId="0" fillId="0" borderId="1" xfId="1" applyFont="1" applyBorder="1"/>
    <xf numFmtId="164" fontId="0" fillId="0" borderId="2" xfId="1" applyFont="1" applyBorder="1"/>
    <xf numFmtId="0" fontId="11" fillId="3" borderId="0" xfId="0" applyFont="1" applyFill="1"/>
    <xf numFmtId="0" fontId="2" fillId="0" borderId="0" xfId="0" applyFont="1" applyFill="1"/>
    <xf numFmtId="164" fontId="6" fillId="0" borderId="0" xfId="1" applyFont="1"/>
    <xf numFmtId="164" fontId="7" fillId="2" borderId="0" xfId="1" applyFont="1" applyFill="1"/>
    <xf numFmtId="164" fontId="9" fillId="0" borderId="0" xfId="0" applyNumberFormat="1" applyFont="1"/>
    <xf numFmtId="164" fontId="6" fillId="0" borderId="0" xfId="0" applyNumberFormat="1" applyFont="1"/>
    <xf numFmtId="164" fontId="8" fillId="0" borderId="0" xfId="1" applyFont="1"/>
    <xf numFmtId="164" fontId="0" fillId="0" borderId="0" xfId="1" applyFont="1" applyAlignment="1">
      <alignment horizontal="right"/>
    </xf>
    <xf numFmtId="164" fontId="9" fillId="0" borderId="0" xfId="1" applyFont="1"/>
    <xf numFmtId="0" fontId="12" fillId="0" borderId="0" xfId="0" applyFont="1"/>
    <xf numFmtId="9" fontId="0" fillId="0" borderId="0" xfId="0" applyNumberFormat="1"/>
    <xf numFmtId="0" fontId="2" fillId="4" borderId="0" xfId="0" applyFont="1" applyFill="1"/>
    <xf numFmtId="164" fontId="0" fillId="0" borderId="0" xfId="1" applyFont="1" applyFill="1"/>
    <xf numFmtId="164" fontId="0" fillId="0" borderId="0" xfId="1" applyFont="1" applyFill="1" applyAlignment="1">
      <alignment horizontal="right"/>
    </xf>
    <xf numFmtId="164" fontId="7" fillId="0" borderId="0" xfId="1" applyFont="1" applyFill="1"/>
    <xf numFmtId="164" fontId="9" fillId="0" borderId="0" xfId="1" applyFont="1" applyFill="1"/>
    <xf numFmtId="164" fontId="9" fillId="0" borderId="0" xfId="1" applyFont="1" applyFill="1" applyAlignment="1">
      <alignment horizontal="right"/>
    </xf>
    <xf numFmtId="164" fontId="13" fillId="0" borderId="0" xfId="1" applyFont="1" applyAlignment="1">
      <alignment horizontal="right"/>
    </xf>
    <xf numFmtId="164" fontId="6" fillId="0" borderId="0" xfId="1" applyFont="1" applyAlignment="1">
      <alignment horizontal="right"/>
    </xf>
    <xf numFmtId="164" fontId="10" fillId="0" borderId="0" xfId="1" applyFont="1" applyAlignment="1">
      <alignment horizontal="right"/>
    </xf>
    <xf numFmtId="164" fontId="2" fillId="0" borderId="0" xfId="1" applyFont="1" applyFill="1"/>
    <xf numFmtId="164" fontId="2" fillId="4" borderId="0" xfId="1" applyFont="1" applyFill="1"/>
    <xf numFmtId="9" fontId="0" fillId="0" borderId="0" xfId="2" applyFont="1" applyFill="1"/>
    <xf numFmtId="9" fontId="6" fillId="0" borderId="0" xfId="0" applyNumberFormat="1" applyFont="1"/>
    <xf numFmtId="9" fontId="2" fillId="0" borderId="0" xfId="2" applyFont="1"/>
    <xf numFmtId="164" fontId="0" fillId="5" borderId="0" xfId="1" applyFont="1" applyFill="1"/>
    <xf numFmtId="0" fontId="14" fillId="0" borderId="0" xfId="0" applyFont="1"/>
    <xf numFmtId="164" fontId="10" fillId="0" borderId="0" xfId="1" applyFont="1"/>
    <xf numFmtId="164" fontId="3" fillId="0" borderId="0" xfId="1" applyFont="1"/>
    <xf numFmtId="0" fontId="2" fillId="0" borderId="0" xfId="0" applyFont="1" applyAlignment="1">
      <alignment wrapText="1"/>
    </xf>
    <xf numFmtId="166" fontId="0" fillId="0" borderId="0" xfId="0" applyNumberFormat="1"/>
    <xf numFmtId="9" fontId="6" fillId="0" borderId="0" xfId="2" applyFont="1"/>
    <xf numFmtId="9" fontId="8" fillId="0" borderId="0" xfId="2" applyFont="1"/>
    <xf numFmtId="9" fontId="10" fillId="0" borderId="0" xfId="0" applyNumberFormat="1" applyFont="1" applyFill="1"/>
    <xf numFmtId="0" fontId="8" fillId="2" borderId="0" xfId="0" applyFont="1" applyFill="1"/>
    <xf numFmtId="166" fontId="2" fillId="0" borderId="0" xfId="1" applyNumberFormat="1" applyFont="1"/>
    <xf numFmtId="164" fontId="0" fillId="0" borderId="0" xfId="1" applyFont="1" applyAlignment="1">
      <alignment wrapText="1"/>
    </xf>
  </cellXfs>
  <cellStyles count="4">
    <cellStyle name="Comma" xfId="1" builtinId="3" customBuiltin="1"/>
    <cellStyle name="Comma [0]" xfId="3" builtinId="6"/>
    <cellStyle name="Normal" xfId="0" builtinId="0"/>
    <cellStyle name="Percent" xfId="2" builtinId="5"/>
  </cellStyles>
  <dxfs count="0"/>
  <tableStyles count="0" defaultTableStyle="TableStyleMedium9" defaultPivotStyle="PivotStyleLight16"/>
  <colors>
    <mruColors>
      <color rgb="FFFFFFCC"/>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7.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Style" Target="style4.xml"/><Relationship Id="rId2" Type="http://schemas.microsoft.com/office/2011/relationships/chartColorStyle" Target="colors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3" Type="http://schemas.microsoft.com/office/2011/relationships/chartStyle" Target="style5.xml"/><Relationship Id="rId2" Type="http://schemas.microsoft.com/office/2011/relationships/chartColorStyle" Target="colors5.xml"/><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3" Type="http://schemas.microsoft.com/office/2011/relationships/chartStyle" Target="style6.xml"/><Relationship Id="rId2" Type="http://schemas.microsoft.com/office/2011/relationships/chartColorStyle" Target="colors6.xml"/><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microsoft.com/office/2011/relationships/chartStyle" Target="style7.xml"/><Relationship Id="rId2" Type="http://schemas.microsoft.com/office/2011/relationships/chartColorStyle" Target="colors7.xml"/><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3" Type="http://schemas.microsoft.com/office/2011/relationships/chartStyle" Target="style8.xml"/><Relationship Id="rId2" Type="http://schemas.microsoft.com/office/2011/relationships/chartColorStyle" Target="colors8.xml"/><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3" Type="http://schemas.microsoft.com/office/2011/relationships/chartStyle" Target="style9.xml"/><Relationship Id="rId2" Type="http://schemas.microsoft.com/office/2011/relationships/chartColorStyle" Target="colors9.xml"/><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CostAllocationExample!$CX$104</c:f>
              <c:strCache>
                <c:ptCount val="1"/>
                <c:pt idx="0">
                  <c:v>Earned</c:v>
                </c:pt>
              </c:strCache>
            </c:strRef>
          </c:tx>
          <c:spPr>
            <a:solidFill>
              <a:schemeClr val="accent1"/>
            </a:solidFill>
            <a:ln>
              <a:noFill/>
            </a:ln>
            <a:effectLst/>
          </c:spPr>
          <c:invertIfNegative val="0"/>
          <c:cat>
            <c:multiLvlStrRef>
              <c:f>CostAllocationExample!$CR$105:$CW$128</c:f>
              <c:multiLvlStrCache>
                <c:ptCount val="24"/>
                <c:lvl>
                  <c:pt idx="0">
                    <c:v>Island</c:v>
                  </c:pt>
                  <c:pt idx="1">
                    <c:v>National</c:v>
                  </c:pt>
                  <c:pt idx="2">
                    <c:v>Factored by sharing limit</c:v>
                  </c:pt>
                  <c:pt idx="3">
                    <c:v>Cost to island causer</c:v>
                  </c:pt>
                  <c:pt idx="4">
                    <c:v>Island</c:v>
                  </c:pt>
                  <c:pt idx="5">
                    <c:v>National</c:v>
                  </c:pt>
                  <c:pt idx="6">
                    <c:v>Factored by sharing limit</c:v>
                  </c:pt>
                  <c:pt idx="7">
                    <c:v>Cost to island causer</c:v>
                  </c:pt>
                  <c:pt idx="8">
                    <c:v>Island</c:v>
                  </c:pt>
                  <c:pt idx="9">
                    <c:v>National</c:v>
                  </c:pt>
                  <c:pt idx="10">
                    <c:v>Factored by sharing limit</c:v>
                  </c:pt>
                  <c:pt idx="11">
                    <c:v>Cost to island causer</c:v>
                  </c:pt>
                  <c:pt idx="12">
                    <c:v>Island</c:v>
                  </c:pt>
                  <c:pt idx="13">
                    <c:v>National</c:v>
                  </c:pt>
                  <c:pt idx="14">
                    <c:v>Factored by sharing limit</c:v>
                  </c:pt>
                  <c:pt idx="15">
                    <c:v>Cost to island causer</c:v>
                  </c:pt>
                  <c:pt idx="16">
                    <c:v>Island</c:v>
                  </c:pt>
                  <c:pt idx="17">
                    <c:v>National</c:v>
                  </c:pt>
                  <c:pt idx="18">
                    <c:v>Factored by sharing limit</c:v>
                  </c:pt>
                  <c:pt idx="19">
                    <c:v>Cost to island causer</c:v>
                  </c:pt>
                  <c:pt idx="20">
                    <c:v>Island</c:v>
                  </c:pt>
                  <c:pt idx="21">
                    <c:v>National</c:v>
                  </c:pt>
                  <c:pt idx="22">
                    <c:v>Factored by sharing limit</c:v>
                  </c:pt>
                  <c:pt idx="23">
                    <c:v>Cost to island causer</c:v>
                  </c:pt>
                </c:lvl>
                <c:lvl>
                  <c:pt idx="0">
                    <c:v>North</c:v>
                  </c:pt>
                  <c:pt idx="4">
                    <c:v>South</c:v>
                  </c:pt>
                  <c:pt idx="8">
                    <c:v>North</c:v>
                  </c:pt>
                  <c:pt idx="12">
                    <c:v>South</c:v>
                  </c:pt>
                  <c:pt idx="16">
                    <c:v>North</c:v>
                  </c:pt>
                  <c:pt idx="20">
                    <c:v>South</c:v>
                  </c:pt>
                </c:lvl>
                <c:lvl>
                  <c:pt idx="0">
                    <c:v>0 MW
[0 MW] IR transferred</c:v>
                  </c:pt>
                  <c:pt idx="8">
                    <c:v>0 MW
[0 MW] IR transferred</c:v>
                  </c:pt>
                  <c:pt idx="16">
                    <c:v>700 MW
[202 MW] IR transferred</c:v>
                  </c:pt>
                </c:lvl>
              </c:multiLvlStrCache>
            </c:multiLvlStrRef>
          </c:cat>
          <c:val>
            <c:numRef>
              <c:f>CostAllocationExample!$CX$105:$CX$128</c:f>
              <c:numCache>
                <c:formatCode>#,##0_ ;[Red]\-#,##0\ </c:formatCode>
                <c:ptCount val="24"/>
                <c:pt idx="0">
                  <c:v>1800</c:v>
                </c:pt>
                <c:pt idx="1">
                  <c:v>1800</c:v>
                </c:pt>
                <c:pt idx="2">
                  <c:v>1800</c:v>
                </c:pt>
                <c:pt idx="3">
                  <c:v>1800</c:v>
                </c:pt>
                <c:pt idx="4">
                  <c:v>220</c:v>
                </c:pt>
                <c:pt idx="5">
                  <c:v>220</c:v>
                </c:pt>
                <c:pt idx="6">
                  <c:v>220</c:v>
                </c:pt>
                <c:pt idx="7">
                  <c:v>220</c:v>
                </c:pt>
                <c:pt idx="8">
                  <c:v>1800</c:v>
                </c:pt>
                <c:pt idx="9">
                  <c:v>1800</c:v>
                </c:pt>
                <c:pt idx="10">
                  <c:v>1800</c:v>
                </c:pt>
                <c:pt idx="11">
                  <c:v>1800</c:v>
                </c:pt>
                <c:pt idx="12">
                  <c:v>220</c:v>
                </c:pt>
                <c:pt idx="13">
                  <c:v>220</c:v>
                </c:pt>
                <c:pt idx="14">
                  <c:v>220</c:v>
                </c:pt>
                <c:pt idx="15">
                  <c:v>220</c:v>
                </c:pt>
                <c:pt idx="16">
                  <c:v>2020</c:v>
                </c:pt>
                <c:pt idx="17">
                  <c:v>2020</c:v>
                </c:pt>
                <c:pt idx="18">
                  <c:v>2020</c:v>
                </c:pt>
                <c:pt idx="19">
                  <c:v>2020</c:v>
                </c:pt>
                <c:pt idx="20">
                  <c:v>198</c:v>
                </c:pt>
                <c:pt idx="21">
                  <c:v>198</c:v>
                </c:pt>
                <c:pt idx="22">
                  <c:v>198</c:v>
                </c:pt>
                <c:pt idx="23">
                  <c:v>198</c:v>
                </c:pt>
              </c:numCache>
            </c:numRef>
          </c:val>
          <c:extLst xmlns:c16r2="http://schemas.microsoft.com/office/drawing/2015/06/chart">
            <c:ext xmlns:c16="http://schemas.microsoft.com/office/drawing/2014/chart" uri="{C3380CC4-5D6E-409C-BE32-E72D297353CC}">
              <c16:uniqueId val="{00000000-DBF7-4827-BA0C-C50AF6234C06}"/>
            </c:ext>
          </c:extLst>
        </c:ser>
        <c:ser>
          <c:idx val="1"/>
          <c:order val="1"/>
          <c:tx>
            <c:strRef>
              <c:f>CostAllocationExample!$CY$104</c:f>
              <c:strCache>
                <c:ptCount val="1"/>
                <c:pt idx="0">
                  <c:v>Allocated</c:v>
                </c:pt>
              </c:strCache>
            </c:strRef>
          </c:tx>
          <c:spPr>
            <a:solidFill>
              <a:schemeClr val="accent2"/>
            </a:solidFill>
            <a:ln>
              <a:noFill/>
            </a:ln>
            <a:effectLst/>
          </c:spPr>
          <c:invertIfNegative val="0"/>
          <c:cat>
            <c:multiLvlStrRef>
              <c:f>CostAllocationExample!$CR$105:$CW$128</c:f>
              <c:multiLvlStrCache>
                <c:ptCount val="24"/>
                <c:lvl>
                  <c:pt idx="0">
                    <c:v>Island</c:v>
                  </c:pt>
                  <c:pt idx="1">
                    <c:v>National</c:v>
                  </c:pt>
                  <c:pt idx="2">
                    <c:v>Factored by sharing limit</c:v>
                  </c:pt>
                  <c:pt idx="3">
                    <c:v>Cost to island causer</c:v>
                  </c:pt>
                  <c:pt idx="4">
                    <c:v>Island</c:v>
                  </c:pt>
                  <c:pt idx="5">
                    <c:v>National</c:v>
                  </c:pt>
                  <c:pt idx="6">
                    <c:v>Factored by sharing limit</c:v>
                  </c:pt>
                  <c:pt idx="7">
                    <c:v>Cost to island causer</c:v>
                  </c:pt>
                  <c:pt idx="8">
                    <c:v>Island</c:v>
                  </c:pt>
                  <c:pt idx="9">
                    <c:v>National</c:v>
                  </c:pt>
                  <c:pt idx="10">
                    <c:v>Factored by sharing limit</c:v>
                  </c:pt>
                  <c:pt idx="11">
                    <c:v>Cost to island causer</c:v>
                  </c:pt>
                  <c:pt idx="12">
                    <c:v>Island</c:v>
                  </c:pt>
                  <c:pt idx="13">
                    <c:v>National</c:v>
                  </c:pt>
                  <c:pt idx="14">
                    <c:v>Factored by sharing limit</c:v>
                  </c:pt>
                  <c:pt idx="15">
                    <c:v>Cost to island causer</c:v>
                  </c:pt>
                  <c:pt idx="16">
                    <c:v>Island</c:v>
                  </c:pt>
                  <c:pt idx="17">
                    <c:v>National</c:v>
                  </c:pt>
                  <c:pt idx="18">
                    <c:v>Factored by sharing limit</c:v>
                  </c:pt>
                  <c:pt idx="19">
                    <c:v>Cost to island causer</c:v>
                  </c:pt>
                  <c:pt idx="20">
                    <c:v>Island</c:v>
                  </c:pt>
                  <c:pt idx="21">
                    <c:v>National</c:v>
                  </c:pt>
                  <c:pt idx="22">
                    <c:v>Factored by sharing limit</c:v>
                  </c:pt>
                  <c:pt idx="23">
                    <c:v>Cost to island causer</c:v>
                  </c:pt>
                </c:lvl>
                <c:lvl>
                  <c:pt idx="0">
                    <c:v>North</c:v>
                  </c:pt>
                  <c:pt idx="4">
                    <c:v>South</c:v>
                  </c:pt>
                  <c:pt idx="8">
                    <c:v>North</c:v>
                  </c:pt>
                  <c:pt idx="12">
                    <c:v>South</c:v>
                  </c:pt>
                  <c:pt idx="16">
                    <c:v>North</c:v>
                  </c:pt>
                  <c:pt idx="20">
                    <c:v>South</c:v>
                  </c:pt>
                </c:lvl>
                <c:lvl>
                  <c:pt idx="0">
                    <c:v>0 MW
[0 MW] IR transferred</c:v>
                  </c:pt>
                  <c:pt idx="8">
                    <c:v>0 MW
[0 MW] IR transferred</c:v>
                  </c:pt>
                  <c:pt idx="16">
                    <c:v>700 MW
[202 MW] IR transferred</c:v>
                  </c:pt>
                </c:lvl>
              </c:multiLvlStrCache>
            </c:multiLvlStrRef>
          </c:cat>
          <c:val>
            <c:numRef>
              <c:f>CostAllocationExample!$CY$105:$CY$128</c:f>
              <c:numCache>
                <c:formatCode>#,##0_ ;[Red]\-#,##0\ </c:formatCode>
                <c:ptCount val="24"/>
                <c:pt idx="0">
                  <c:v>-1800</c:v>
                </c:pt>
                <c:pt idx="1">
                  <c:v>-1616.9888135179058</c:v>
                </c:pt>
                <c:pt idx="2">
                  <c:v>-1699.3438474348482</c:v>
                </c:pt>
                <c:pt idx="3">
                  <c:v>-1995.6597204203883</c:v>
                </c:pt>
                <c:pt idx="4">
                  <c:v>-220</c:v>
                </c:pt>
                <c:pt idx="5">
                  <c:v>-403.01118648209433</c:v>
                </c:pt>
                <c:pt idx="6">
                  <c:v>-320.6561525651519</c:v>
                </c:pt>
                <c:pt idx="7">
                  <c:v>-24.340279579611639</c:v>
                </c:pt>
                <c:pt idx="8">
                  <c:v>-1800</c:v>
                </c:pt>
                <c:pt idx="9">
                  <c:v>-1616.9888135179058</c:v>
                </c:pt>
                <c:pt idx="10">
                  <c:v>-1699.3438474348482</c:v>
                </c:pt>
                <c:pt idx="11">
                  <c:v>-1995.6597204203883</c:v>
                </c:pt>
                <c:pt idx="12">
                  <c:v>-220</c:v>
                </c:pt>
                <c:pt idx="13">
                  <c:v>-403.01118648209433</c:v>
                </c:pt>
                <c:pt idx="14">
                  <c:v>-320.6561525651519</c:v>
                </c:pt>
                <c:pt idx="15">
                  <c:v>-24.340279579611639</c:v>
                </c:pt>
                <c:pt idx="16">
                  <c:v>-1820.667129951355</c:v>
                </c:pt>
                <c:pt idx="17">
                  <c:v>-1680.2466083922393</c:v>
                </c:pt>
                <c:pt idx="18">
                  <c:v>-1743.4358430938414</c:v>
                </c:pt>
                <c:pt idx="19">
                  <c:v>-2057.1379818536257</c:v>
                </c:pt>
                <c:pt idx="20">
                  <c:v>-397.33287004864485</c:v>
                </c:pt>
                <c:pt idx="21">
                  <c:v>-537.75339160776059</c:v>
                </c:pt>
                <c:pt idx="22">
                  <c:v>-474.56415690615847</c:v>
                </c:pt>
                <c:pt idx="23">
                  <c:v>-160.8620181463744</c:v>
                </c:pt>
              </c:numCache>
            </c:numRef>
          </c:val>
          <c:extLst xmlns:c16r2="http://schemas.microsoft.com/office/drawing/2015/06/chart">
            <c:ext xmlns:c16="http://schemas.microsoft.com/office/drawing/2014/chart" uri="{C3380CC4-5D6E-409C-BE32-E72D297353CC}">
              <c16:uniqueId val="{00000001-DBF7-4827-BA0C-C50AF6234C06}"/>
            </c:ext>
          </c:extLst>
        </c:ser>
        <c:dLbls>
          <c:showLegendKey val="0"/>
          <c:showVal val="0"/>
          <c:showCatName val="0"/>
          <c:showSerName val="0"/>
          <c:showPercent val="0"/>
          <c:showBubbleSize val="0"/>
        </c:dLbls>
        <c:gapWidth val="150"/>
        <c:overlap val="100"/>
        <c:axId val="224969088"/>
        <c:axId val="224971008"/>
      </c:barChart>
      <c:lineChart>
        <c:grouping val="standard"/>
        <c:varyColors val="0"/>
        <c:ser>
          <c:idx val="2"/>
          <c:order val="2"/>
          <c:tx>
            <c:strRef>
              <c:f>CostAllocationExample!$CZ$104</c:f>
              <c:strCache>
                <c:ptCount val="1"/>
                <c:pt idx="0">
                  <c:v>Net</c:v>
                </c:pt>
              </c:strCache>
            </c:strRef>
          </c:tx>
          <c:spPr>
            <a:ln w="28575" cap="rnd">
              <a:noFill/>
              <a:round/>
            </a:ln>
            <a:effectLst/>
          </c:spPr>
          <c:marker>
            <c:symbol val="circle"/>
            <c:size val="12"/>
            <c:spPr>
              <a:noFill/>
              <a:ln w="9525">
                <a:solidFill>
                  <a:schemeClr val="tx1"/>
                </a:solidFill>
              </a:ln>
              <a:effectLst/>
            </c:spPr>
          </c:marker>
          <c:cat>
            <c:multiLvlStrRef>
              <c:f>CostAllocationExample!$CR$105:$CW$128</c:f>
              <c:multiLvlStrCache>
                <c:ptCount val="24"/>
                <c:lvl>
                  <c:pt idx="0">
                    <c:v>Island</c:v>
                  </c:pt>
                  <c:pt idx="1">
                    <c:v>National</c:v>
                  </c:pt>
                  <c:pt idx="2">
                    <c:v>Factored by sharing limit</c:v>
                  </c:pt>
                  <c:pt idx="3">
                    <c:v>Cost to island causer</c:v>
                  </c:pt>
                  <c:pt idx="4">
                    <c:v>Island</c:v>
                  </c:pt>
                  <c:pt idx="5">
                    <c:v>National</c:v>
                  </c:pt>
                  <c:pt idx="6">
                    <c:v>Factored by sharing limit</c:v>
                  </c:pt>
                  <c:pt idx="7">
                    <c:v>Cost to island causer</c:v>
                  </c:pt>
                  <c:pt idx="8">
                    <c:v>Island</c:v>
                  </c:pt>
                  <c:pt idx="9">
                    <c:v>National</c:v>
                  </c:pt>
                  <c:pt idx="10">
                    <c:v>Factored by sharing limit</c:v>
                  </c:pt>
                  <c:pt idx="11">
                    <c:v>Cost to island causer</c:v>
                  </c:pt>
                  <c:pt idx="12">
                    <c:v>Island</c:v>
                  </c:pt>
                  <c:pt idx="13">
                    <c:v>National</c:v>
                  </c:pt>
                  <c:pt idx="14">
                    <c:v>Factored by sharing limit</c:v>
                  </c:pt>
                  <c:pt idx="15">
                    <c:v>Cost to island causer</c:v>
                  </c:pt>
                  <c:pt idx="16">
                    <c:v>Island</c:v>
                  </c:pt>
                  <c:pt idx="17">
                    <c:v>National</c:v>
                  </c:pt>
                  <c:pt idx="18">
                    <c:v>Factored by sharing limit</c:v>
                  </c:pt>
                  <c:pt idx="19">
                    <c:v>Cost to island causer</c:v>
                  </c:pt>
                  <c:pt idx="20">
                    <c:v>Island</c:v>
                  </c:pt>
                  <c:pt idx="21">
                    <c:v>National</c:v>
                  </c:pt>
                  <c:pt idx="22">
                    <c:v>Factored by sharing limit</c:v>
                  </c:pt>
                  <c:pt idx="23">
                    <c:v>Cost to island causer</c:v>
                  </c:pt>
                </c:lvl>
                <c:lvl>
                  <c:pt idx="0">
                    <c:v>North</c:v>
                  </c:pt>
                  <c:pt idx="4">
                    <c:v>South</c:v>
                  </c:pt>
                  <c:pt idx="8">
                    <c:v>North</c:v>
                  </c:pt>
                  <c:pt idx="12">
                    <c:v>South</c:v>
                  </c:pt>
                  <c:pt idx="16">
                    <c:v>North</c:v>
                  </c:pt>
                  <c:pt idx="20">
                    <c:v>South</c:v>
                  </c:pt>
                </c:lvl>
                <c:lvl>
                  <c:pt idx="0">
                    <c:v>0 MW
[0 MW] IR transferred</c:v>
                  </c:pt>
                  <c:pt idx="8">
                    <c:v>0 MW
[0 MW] IR transferred</c:v>
                  </c:pt>
                  <c:pt idx="16">
                    <c:v>700 MW
[202 MW] IR transferred</c:v>
                  </c:pt>
                </c:lvl>
              </c:multiLvlStrCache>
            </c:multiLvlStrRef>
          </c:cat>
          <c:val>
            <c:numRef>
              <c:f>CostAllocationExample!$CZ$105:$CZ$128</c:f>
              <c:numCache>
                <c:formatCode>#,##0_ ;[Red]\-#,##0\ </c:formatCode>
                <c:ptCount val="24"/>
                <c:pt idx="0">
                  <c:v>0</c:v>
                </c:pt>
                <c:pt idx="1">
                  <c:v>183.01118648209422</c:v>
                </c:pt>
                <c:pt idx="2">
                  <c:v>100.65615256515184</c:v>
                </c:pt>
                <c:pt idx="3">
                  <c:v>-195.65972042038834</c:v>
                </c:pt>
                <c:pt idx="4">
                  <c:v>0</c:v>
                </c:pt>
                <c:pt idx="5">
                  <c:v>-183.01118648209433</c:v>
                </c:pt>
                <c:pt idx="6">
                  <c:v>-100.6561525651519</c:v>
                </c:pt>
                <c:pt idx="7">
                  <c:v>195.65972042038837</c:v>
                </c:pt>
                <c:pt idx="8">
                  <c:v>0</c:v>
                </c:pt>
                <c:pt idx="9">
                  <c:v>183.01118648209422</c:v>
                </c:pt>
                <c:pt idx="10">
                  <c:v>100.65615256515184</c:v>
                </c:pt>
                <c:pt idx="11">
                  <c:v>-195.65972042038834</c:v>
                </c:pt>
                <c:pt idx="12">
                  <c:v>0</c:v>
                </c:pt>
                <c:pt idx="13">
                  <c:v>-183.01118648209433</c:v>
                </c:pt>
                <c:pt idx="14">
                  <c:v>-100.6561525651519</c:v>
                </c:pt>
                <c:pt idx="15">
                  <c:v>195.65972042038837</c:v>
                </c:pt>
                <c:pt idx="16">
                  <c:v>199.33287004864496</c:v>
                </c:pt>
                <c:pt idx="17">
                  <c:v>339.7533916077607</c:v>
                </c:pt>
                <c:pt idx="18">
                  <c:v>276.56415690615859</c:v>
                </c:pt>
                <c:pt idx="19">
                  <c:v>-37.137981853625661</c:v>
                </c:pt>
                <c:pt idx="20">
                  <c:v>-199.33287004864485</c:v>
                </c:pt>
                <c:pt idx="21">
                  <c:v>-339.75339160776059</c:v>
                </c:pt>
                <c:pt idx="22">
                  <c:v>-276.56415690615847</c:v>
                </c:pt>
                <c:pt idx="23">
                  <c:v>37.137981853625604</c:v>
                </c:pt>
              </c:numCache>
            </c:numRef>
          </c:val>
          <c:smooth val="0"/>
          <c:extLst xmlns:c16r2="http://schemas.microsoft.com/office/drawing/2015/06/chart">
            <c:ext xmlns:c16="http://schemas.microsoft.com/office/drawing/2014/chart" uri="{C3380CC4-5D6E-409C-BE32-E72D297353CC}">
              <c16:uniqueId val="{00000002-DBF7-4827-BA0C-C50AF6234C06}"/>
            </c:ext>
          </c:extLst>
        </c:ser>
        <c:dLbls>
          <c:showLegendKey val="0"/>
          <c:showVal val="0"/>
          <c:showCatName val="0"/>
          <c:showSerName val="0"/>
          <c:showPercent val="0"/>
          <c:showBubbleSize val="0"/>
        </c:dLbls>
        <c:marker val="1"/>
        <c:smooth val="0"/>
        <c:axId val="224969088"/>
        <c:axId val="224971008"/>
      </c:lineChart>
      <c:catAx>
        <c:axId val="2249690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4971008"/>
        <c:crosses val="autoZero"/>
        <c:auto val="1"/>
        <c:lblAlgn val="ctr"/>
        <c:lblOffset val="100"/>
        <c:noMultiLvlLbl val="0"/>
      </c:catAx>
      <c:valAx>
        <c:axId val="224971008"/>
        <c:scaling>
          <c:orientation val="minMax"/>
          <c:max val="4000"/>
          <c:min val="-4000"/>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NZ"/>
                  <a:t>$</a:t>
                </a:r>
              </a:p>
            </c:rich>
          </c:tx>
          <c:layout/>
          <c:overlay val="0"/>
          <c:spPr>
            <a:noFill/>
            <a:ln>
              <a:noFill/>
            </a:ln>
            <a:effectLst/>
          </c:sp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49690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NZ"/>
              <a:t>IR procurred (MW)</a:t>
            </a:r>
          </a:p>
        </c:rich>
      </c:tx>
      <c:layout>
        <c:manualLayout>
          <c:xMode val="edge"/>
          <c:yMode val="edge"/>
          <c:x val="0.56907896271413017"/>
          <c:y val="3.5220124390823579E-3"/>
        </c:manualLayout>
      </c:layout>
      <c:overlay val="0"/>
      <c:spPr>
        <a:noFill/>
        <a:ln>
          <a:noFill/>
        </a:ln>
        <a:effectLst/>
      </c:spPr>
    </c:title>
    <c:autoTitleDeleted val="0"/>
    <c:plotArea>
      <c:layout>
        <c:manualLayout>
          <c:layoutTarget val="inner"/>
          <c:xMode val="edge"/>
          <c:yMode val="edge"/>
          <c:x val="0.22709444984116572"/>
          <c:y val="5.6526515398341456E-2"/>
          <c:w val="0.76267772653312749"/>
          <c:h val="0.79894088477029024"/>
        </c:manualLayout>
      </c:layout>
      <c:barChart>
        <c:barDir val="col"/>
        <c:grouping val="stacked"/>
        <c:varyColors val="0"/>
        <c:ser>
          <c:idx val="0"/>
          <c:order val="0"/>
          <c:tx>
            <c:strRef>
              <c:f>CostAllocationExample!$AB$7</c:f>
              <c:strCache>
                <c:ptCount val="1"/>
                <c:pt idx="0">
                  <c:v>NI_IR 4 NI_Risk</c:v>
                </c:pt>
              </c:strCache>
            </c:strRef>
          </c:tx>
          <c:spPr>
            <a:solidFill>
              <a:schemeClr val="accent1"/>
            </a:solidFill>
            <a:ln>
              <a:noFill/>
            </a:ln>
            <a:effectLst/>
          </c:spPr>
          <c:invertIfNegative val="0"/>
          <c:cat>
            <c:multiLvlStrRef>
              <c:f>CostAllocationExample!$Y$8:$AA$55</c:f>
              <c:multiLvlStrCache>
                <c:ptCount val="48"/>
                <c:lvl>
                  <c:pt idx="0">
                    <c:v>0 </c:v>
                  </c:pt>
                  <c:pt idx="1">
                    <c:v>10 </c:v>
                  </c:pt>
                  <c:pt idx="2">
                    <c:v>100 </c:v>
                  </c:pt>
                  <c:pt idx="3">
                    <c:v>220 </c:v>
                  </c:pt>
                  <c:pt idx="4">
                    <c:v>0 </c:v>
                  </c:pt>
                  <c:pt idx="5">
                    <c:v>10 </c:v>
                  </c:pt>
                  <c:pt idx="6">
                    <c:v>100 </c:v>
                  </c:pt>
                  <c:pt idx="7">
                    <c:v>220 </c:v>
                  </c:pt>
                  <c:pt idx="8">
                    <c:v>0 </c:v>
                  </c:pt>
                  <c:pt idx="9">
                    <c:v>10 </c:v>
                  </c:pt>
                  <c:pt idx="10">
                    <c:v>100 </c:v>
                  </c:pt>
                  <c:pt idx="11">
                    <c:v>220 </c:v>
                  </c:pt>
                  <c:pt idx="12">
                    <c:v>0 </c:v>
                  </c:pt>
                  <c:pt idx="13">
                    <c:v>10 </c:v>
                  </c:pt>
                  <c:pt idx="14">
                    <c:v>100 </c:v>
                  </c:pt>
                  <c:pt idx="15">
                    <c:v>220 </c:v>
                  </c:pt>
                  <c:pt idx="16">
                    <c:v>0 </c:v>
                  </c:pt>
                  <c:pt idx="17">
                    <c:v>10 </c:v>
                  </c:pt>
                  <c:pt idx="18">
                    <c:v>100 </c:v>
                  </c:pt>
                  <c:pt idx="19">
                    <c:v>220 </c:v>
                  </c:pt>
                  <c:pt idx="20">
                    <c:v>0 </c:v>
                  </c:pt>
                  <c:pt idx="21">
                    <c:v>10 </c:v>
                  </c:pt>
                  <c:pt idx="22">
                    <c:v>100 </c:v>
                  </c:pt>
                  <c:pt idx="23">
                    <c:v>220 </c:v>
                  </c:pt>
                  <c:pt idx="24">
                    <c:v>0 </c:v>
                  </c:pt>
                  <c:pt idx="25">
                    <c:v>10 </c:v>
                  </c:pt>
                  <c:pt idx="26">
                    <c:v>100 </c:v>
                  </c:pt>
                  <c:pt idx="27">
                    <c:v>220 </c:v>
                  </c:pt>
                  <c:pt idx="28">
                    <c:v>0 </c:v>
                  </c:pt>
                  <c:pt idx="29">
                    <c:v>10 </c:v>
                  </c:pt>
                  <c:pt idx="30">
                    <c:v>100 </c:v>
                  </c:pt>
                  <c:pt idx="31">
                    <c:v>220 </c:v>
                  </c:pt>
                  <c:pt idx="32">
                    <c:v>0 </c:v>
                  </c:pt>
                  <c:pt idx="33">
                    <c:v>10 </c:v>
                  </c:pt>
                  <c:pt idx="34">
                    <c:v>100 </c:v>
                  </c:pt>
                  <c:pt idx="35">
                    <c:v>220 </c:v>
                  </c:pt>
                  <c:pt idx="36">
                    <c:v>0 </c:v>
                  </c:pt>
                  <c:pt idx="37">
                    <c:v>10 </c:v>
                  </c:pt>
                  <c:pt idx="38">
                    <c:v>100 </c:v>
                  </c:pt>
                  <c:pt idx="39">
                    <c:v>220 </c:v>
                  </c:pt>
                  <c:pt idx="40">
                    <c:v>0 </c:v>
                  </c:pt>
                  <c:pt idx="41">
                    <c:v>10 </c:v>
                  </c:pt>
                  <c:pt idx="42">
                    <c:v>100 </c:v>
                  </c:pt>
                  <c:pt idx="43">
                    <c:v>220 </c:v>
                  </c:pt>
                  <c:pt idx="44">
                    <c:v>0 </c:v>
                  </c:pt>
                  <c:pt idx="45">
                    <c:v>10 </c:v>
                  </c:pt>
                  <c:pt idx="46">
                    <c:v>100 </c:v>
                  </c:pt>
                  <c:pt idx="47">
                    <c:v>220 </c:v>
                  </c:pt>
                </c:lvl>
                <c:lvl>
                  <c:pt idx="0">
                    <c:v>102 MW</c:v>
                  </c:pt>
                  <c:pt idx="4">
                    <c:v>302 MW</c:v>
                  </c:pt>
                  <c:pt idx="8">
                    <c:v>502 MW</c:v>
                  </c:pt>
                  <c:pt idx="12">
                    <c:v>102 MW</c:v>
                  </c:pt>
                  <c:pt idx="16">
                    <c:v>302 MW</c:v>
                  </c:pt>
                  <c:pt idx="20">
                    <c:v>502 MW</c:v>
                  </c:pt>
                  <c:pt idx="24">
                    <c:v>102 MW</c:v>
                  </c:pt>
                  <c:pt idx="28">
                    <c:v>302 MW</c:v>
                  </c:pt>
                  <c:pt idx="32">
                    <c:v>502 MW</c:v>
                  </c:pt>
                  <c:pt idx="36">
                    <c:v>102 MW</c:v>
                  </c:pt>
                  <c:pt idx="40">
                    <c:v>302 MW</c:v>
                  </c:pt>
                  <c:pt idx="44">
                    <c:v>502 MW</c:v>
                  </c:pt>
                </c:lvl>
                <c:lvl>
                  <c:pt idx="0">
                    <c:v>0 MW</c:v>
                  </c:pt>
                  <c:pt idx="12">
                    <c:v>10 MW</c:v>
                  </c:pt>
                  <c:pt idx="24">
                    <c:v>100 MW</c:v>
                  </c:pt>
                  <c:pt idx="36">
                    <c:v>220 MW</c:v>
                  </c:pt>
                </c:lvl>
              </c:multiLvlStrCache>
            </c:multiLvlStrRef>
          </c:cat>
          <c:val>
            <c:numRef>
              <c:f>CostAllocationExample!$AB$8:$AB$55</c:f>
              <c:numCache>
                <c:formatCode>#,##0_ ;[Red]\-#,##0\ </c:formatCode>
                <c:ptCount val="48"/>
                <c:pt idx="0">
                  <c:v>400</c:v>
                </c:pt>
                <c:pt idx="1">
                  <c:v>400</c:v>
                </c:pt>
                <c:pt idx="2">
                  <c:v>400</c:v>
                </c:pt>
                <c:pt idx="3">
                  <c:v>400</c:v>
                </c:pt>
                <c:pt idx="4">
                  <c:v>400</c:v>
                </c:pt>
                <c:pt idx="5">
                  <c:v>400</c:v>
                </c:pt>
                <c:pt idx="6">
                  <c:v>400</c:v>
                </c:pt>
                <c:pt idx="7">
                  <c:v>400</c:v>
                </c:pt>
                <c:pt idx="8">
                  <c:v>502</c:v>
                </c:pt>
                <c:pt idx="9">
                  <c:v>502</c:v>
                </c:pt>
                <c:pt idx="10">
                  <c:v>502</c:v>
                </c:pt>
                <c:pt idx="11">
                  <c:v>502</c:v>
                </c:pt>
                <c:pt idx="12">
                  <c:v>390</c:v>
                </c:pt>
                <c:pt idx="13">
                  <c:v>380</c:v>
                </c:pt>
                <c:pt idx="14">
                  <c:v>380</c:v>
                </c:pt>
                <c:pt idx="15">
                  <c:v>380</c:v>
                </c:pt>
                <c:pt idx="16">
                  <c:v>390</c:v>
                </c:pt>
                <c:pt idx="17">
                  <c:v>380</c:v>
                </c:pt>
                <c:pt idx="18">
                  <c:v>380</c:v>
                </c:pt>
                <c:pt idx="19">
                  <c:v>380</c:v>
                </c:pt>
                <c:pt idx="20">
                  <c:v>492</c:v>
                </c:pt>
                <c:pt idx="21">
                  <c:v>492</c:v>
                </c:pt>
                <c:pt idx="22">
                  <c:v>492</c:v>
                </c:pt>
                <c:pt idx="23">
                  <c:v>492</c:v>
                </c:pt>
                <c:pt idx="24">
                  <c:v>300</c:v>
                </c:pt>
                <c:pt idx="25">
                  <c:v>290</c:v>
                </c:pt>
                <c:pt idx="26">
                  <c:v>278</c:v>
                </c:pt>
                <c:pt idx="27">
                  <c:v>278</c:v>
                </c:pt>
                <c:pt idx="28">
                  <c:v>300</c:v>
                </c:pt>
                <c:pt idx="29">
                  <c:v>290</c:v>
                </c:pt>
                <c:pt idx="30">
                  <c:v>278</c:v>
                </c:pt>
                <c:pt idx="31">
                  <c:v>278</c:v>
                </c:pt>
                <c:pt idx="32">
                  <c:v>402</c:v>
                </c:pt>
                <c:pt idx="33">
                  <c:v>402</c:v>
                </c:pt>
                <c:pt idx="34">
                  <c:v>402</c:v>
                </c:pt>
                <c:pt idx="35">
                  <c:v>402</c:v>
                </c:pt>
                <c:pt idx="36">
                  <c:v>278</c:v>
                </c:pt>
                <c:pt idx="37">
                  <c:v>278</c:v>
                </c:pt>
                <c:pt idx="38">
                  <c:v>278</c:v>
                </c:pt>
                <c:pt idx="39">
                  <c:v>180</c:v>
                </c:pt>
                <c:pt idx="40">
                  <c:v>278</c:v>
                </c:pt>
                <c:pt idx="41">
                  <c:v>278</c:v>
                </c:pt>
                <c:pt idx="42">
                  <c:v>278</c:v>
                </c:pt>
                <c:pt idx="43">
                  <c:v>278</c:v>
                </c:pt>
                <c:pt idx="44">
                  <c:v>380</c:v>
                </c:pt>
                <c:pt idx="45">
                  <c:v>380</c:v>
                </c:pt>
                <c:pt idx="46">
                  <c:v>380</c:v>
                </c:pt>
                <c:pt idx="47">
                  <c:v>380</c:v>
                </c:pt>
              </c:numCache>
            </c:numRef>
          </c:val>
          <c:extLst xmlns:c16r2="http://schemas.microsoft.com/office/drawing/2015/06/chart">
            <c:ext xmlns:c16="http://schemas.microsoft.com/office/drawing/2014/chart" uri="{C3380CC4-5D6E-409C-BE32-E72D297353CC}">
              <c16:uniqueId val="{00000000-31EB-402A-933D-99D48871A44E}"/>
            </c:ext>
          </c:extLst>
        </c:ser>
        <c:ser>
          <c:idx val="1"/>
          <c:order val="1"/>
          <c:tx>
            <c:strRef>
              <c:f>CostAllocationExample!$AC$7</c:f>
              <c:strCache>
                <c:ptCount val="1"/>
                <c:pt idx="0">
                  <c:v>NI_IR 4 shared_risk</c:v>
                </c:pt>
              </c:strCache>
            </c:strRef>
          </c:tx>
          <c:spPr>
            <a:solidFill>
              <a:schemeClr val="tx2">
                <a:lumMod val="40000"/>
                <a:lumOff val="60000"/>
              </a:schemeClr>
            </a:solidFill>
            <a:ln>
              <a:noFill/>
            </a:ln>
            <a:effectLst/>
          </c:spPr>
          <c:invertIfNegative val="0"/>
          <c:cat>
            <c:multiLvlStrRef>
              <c:f>CostAllocationExample!$Y$8:$AA$55</c:f>
              <c:multiLvlStrCache>
                <c:ptCount val="48"/>
                <c:lvl>
                  <c:pt idx="0">
                    <c:v>0 </c:v>
                  </c:pt>
                  <c:pt idx="1">
                    <c:v>10 </c:v>
                  </c:pt>
                  <c:pt idx="2">
                    <c:v>100 </c:v>
                  </c:pt>
                  <c:pt idx="3">
                    <c:v>220 </c:v>
                  </c:pt>
                  <c:pt idx="4">
                    <c:v>0 </c:v>
                  </c:pt>
                  <c:pt idx="5">
                    <c:v>10 </c:v>
                  </c:pt>
                  <c:pt idx="6">
                    <c:v>100 </c:v>
                  </c:pt>
                  <c:pt idx="7">
                    <c:v>220 </c:v>
                  </c:pt>
                  <c:pt idx="8">
                    <c:v>0 </c:v>
                  </c:pt>
                  <c:pt idx="9">
                    <c:v>10 </c:v>
                  </c:pt>
                  <c:pt idx="10">
                    <c:v>100 </c:v>
                  </c:pt>
                  <c:pt idx="11">
                    <c:v>220 </c:v>
                  </c:pt>
                  <c:pt idx="12">
                    <c:v>0 </c:v>
                  </c:pt>
                  <c:pt idx="13">
                    <c:v>10 </c:v>
                  </c:pt>
                  <c:pt idx="14">
                    <c:v>100 </c:v>
                  </c:pt>
                  <c:pt idx="15">
                    <c:v>220 </c:v>
                  </c:pt>
                  <c:pt idx="16">
                    <c:v>0 </c:v>
                  </c:pt>
                  <c:pt idx="17">
                    <c:v>10 </c:v>
                  </c:pt>
                  <c:pt idx="18">
                    <c:v>100 </c:v>
                  </c:pt>
                  <c:pt idx="19">
                    <c:v>220 </c:v>
                  </c:pt>
                  <c:pt idx="20">
                    <c:v>0 </c:v>
                  </c:pt>
                  <c:pt idx="21">
                    <c:v>10 </c:v>
                  </c:pt>
                  <c:pt idx="22">
                    <c:v>100 </c:v>
                  </c:pt>
                  <c:pt idx="23">
                    <c:v>220 </c:v>
                  </c:pt>
                  <c:pt idx="24">
                    <c:v>0 </c:v>
                  </c:pt>
                  <c:pt idx="25">
                    <c:v>10 </c:v>
                  </c:pt>
                  <c:pt idx="26">
                    <c:v>100 </c:v>
                  </c:pt>
                  <c:pt idx="27">
                    <c:v>220 </c:v>
                  </c:pt>
                  <c:pt idx="28">
                    <c:v>0 </c:v>
                  </c:pt>
                  <c:pt idx="29">
                    <c:v>10 </c:v>
                  </c:pt>
                  <c:pt idx="30">
                    <c:v>100 </c:v>
                  </c:pt>
                  <c:pt idx="31">
                    <c:v>220 </c:v>
                  </c:pt>
                  <c:pt idx="32">
                    <c:v>0 </c:v>
                  </c:pt>
                  <c:pt idx="33">
                    <c:v>10 </c:v>
                  </c:pt>
                  <c:pt idx="34">
                    <c:v>100 </c:v>
                  </c:pt>
                  <c:pt idx="35">
                    <c:v>220 </c:v>
                  </c:pt>
                  <c:pt idx="36">
                    <c:v>0 </c:v>
                  </c:pt>
                  <c:pt idx="37">
                    <c:v>10 </c:v>
                  </c:pt>
                  <c:pt idx="38">
                    <c:v>100 </c:v>
                  </c:pt>
                  <c:pt idx="39">
                    <c:v>220 </c:v>
                  </c:pt>
                  <c:pt idx="40">
                    <c:v>0 </c:v>
                  </c:pt>
                  <c:pt idx="41">
                    <c:v>10 </c:v>
                  </c:pt>
                  <c:pt idx="42">
                    <c:v>100 </c:v>
                  </c:pt>
                  <c:pt idx="43">
                    <c:v>220 </c:v>
                  </c:pt>
                  <c:pt idx="44">
                    <c:v>0 </c:v>
                  </c:pt>
                  <c:pt idx="45">
                    <c:v>10 </c:v>
                  </c:pt>
                  <c:pt idx="46">
                    <c:v>100 </c:v>
                  </c:pt>
                  <c:pt idx="47">
                    <c:v>220 </c:v>
                  </c:pt>
                </c:lvl>
                <c:lvl>
                  <c:pt idx="0">
                    <c:v>102 MW</c:v>
                  </c:pt>
                  <c:pt idx="4">
                    <c:v>302 MW</c:v>
                  </c:pt>
                  <c:pt idx="8">
                    <c:v>502 MW</c:v>
                  </c:pt>
                  <c:pt idx="12">
                    <c:v>102 MW</c:v>
                  </c:pt>
                  <c:pt idx="16">
                    <c:v>302 MW</c:v>
                  </c:pt>
                  <c:pt idx="20">
                    <c:v>502 MW</c:v>
                  </c:pt>
                  <c:pt idx="24">
                    <c:v>102 MW</c:v>
                  </c:pt>
                  <c:pt idx="28">
                    <c:v>302 MW</c:v>
                  </c:pt>
                  <c:pt idx="32">
                    <c:v>502 MW</c:v>
                  </c:pt>
                  <c:pt idx="36">
                    <c:v>102 MW</c:v>
                  </c:pt>
                  <c:pt idx="40">
                    <c:v>302 MW</c:v>
                  </c:pt>
                  <c:pt idx="44">
                    <c:v>502 MW</c:v>
                  </c:pt>
                </c:lvl>
                <c:lvl>
                  <c:pt idx="0">
                    <c:v>0 MW</c:v>
                  </c:pt>
                  <c:pt idx="12">
                    <c:v>10 MW</c:v>
                  </c:pt>
                  <c:pt idx="24">
                    <c:v>100 MW</c:v>
                  </c:pt>
                  <c:pt idx="36">
                    <c:v>220 MW</c:v>
                  </c:pt>
                </c:lvl>
              </c:multiLvlStrCache>
            </c:multiLvlStrRef>
          </c:cat>
          <c:val>
            <c:numRef>
              <c:f>CostAllocationExample!$AC$8:$AC$55</c:f>
              <c:numCache>
                <c:formatCode>#,##0_ ;[Red]\-#,##0\ </c:formatCode>
                <c:ptCount val="48"/>
                <c:pt idx="0">
                  <c:v>0</c:v>
                </c:pt>
                <c:pt idx="1">
                  <c:v>0</c:v>
                </c:pt>
                <c:pt idx="2">
                  <c:v>0</c:v>
                </c:pt>
                <c:pt idx="3">
                  <c:v>0</c:v>
                </c:pt>
                <c:pt idx="4">
                  <c:v>0</c:v>
                </c:pt>
                <c:pt idx="5">
                  <c:v>0</c:v>
                </c:pt>
                <c:pt idx="6">
                  <c:v>0</c:v>
                </c:pt>
                <c:pt idx="7">
                  <c:v>0</c:v>
                </c:pt>
                <c:pt idx="8">
                  <c:v>0</c:v>
                </c:pt>
                <c:pt idx="9">
                  <c:v>0</c:v>
                </c:pt>
                <c:pt idx="10">
                  <c:v>0</c:v>
                </c:pt>
                <c:pt idx="11">
                  <c:v>0</c:v>
                </c:pt>
                <c:pt idx="12">
                  <c:v>10</c:v>
                </c:pt>
                <c:pt idx="13">
                  <c:v>10</c:v>
                </c:pt>
                <c:pt idx="14">
                  <c:v>10</c:v>
                </c:pt>
                <c:pt idx="15">
                  <c:v>10</c:v>
                </c:pt>
                <c:pt idx="16">
                  <c:v>10</c:v>
                </c:pt>
                <c:pt idx="17">
                  <c:v>10</c:v>
                </c:pt>
                <c:pt idx="18">
                  <c:v>10</c:v>
                </c:pt>
                <c:pt idx="19">
                  <c:v>10</c:v>
                </c:pt>
                <c:pt idx="20">
                  <c:v>10</c:v>
                </c:pt>
                <c:pt idx="21">
                  <c:v>10</c:v>
                </c:pt>
                <c:pt idx="22">
                  <c:v>10</c:v>
                </c:pt>
                <c:pt idx="23">
                  <c:v>10</c:v>
                </c:pt>
                <c:pt idx="24">
                  <c:v>100</c:v>
                </c:pt>
                <c:pt idx="25">
                  <c:v>100</c:v>
                </c:pt>
                <c:pt idx="26">
                  <c:v>22</c:v>
                </c:pt>
                <c:pt idx="27">
                  <c:v>22</c:v>
                </c:pt>
                <c:pt idx="28">
                  <c:v>100</c:v>
                </c:pt>
                <c:pt idx="29">
                  <c:v>100</c:v>
                </c:pt>
                <c:pt idx="30">
                  <c:v>24</c:v>
                </c:pt>
                <c:pt idx="31">
                  <c:v>24</c:v>
                </c:pt>
                <c:pt idx="32">
                  <c:v>100</c:v>
                </c:pt>
                <c:pt idx="33">
                  <c:v>100</c:v>
                </c:pt>
                <c:pt idx="34">
                  <c:v>100</c:v>
                </c:pt>
                <c:pt idx="35">
                  <c:v>100</c:v>
                </c:pt>
                <c:pt idx="36">
                  <c:v>122</c:v>
                </c:pt>
                <c:pt idx="37">
                  <c:v>112</c:v>
                </c:pt>
                <c:pt idx="38">
                  <c:v>22</c:v>
                </c:pt>
                <c:pt idx="39">
                  <c:v>0</c:v>
                </c:pt>
                <c:pt idx="40">
                  <c:v>122</c:v>
                </c:pt>
                <c:pt idx="41">
                  <c:v>112</c:v>
                </c:pt>
                <c:pt idx="42">
                  <c:v>24</c:v>
                </c:pt>
                <c:pt idx="43">
                  <c:v>24</c:v>
                </c:pt>
                <c:pt idx="44">
                  <c:v>122</c:v>
                </c:pt>
                <c:pt idx="45">
                  <c:v>122</c:v>
                </c:pt>
                <c:pt idx="46">
                  <c:v>122</c:v>
                </c:pt>
                <c:pt idx="47">
                  <c:v>122</c:v>
                </c:pt>
              </c:numCache>
            </c:numRef>
          </c:val>
          <c:extLst xmlns:c16r2="http://schemas.microsoft.com/office/drawing/2015/06/chart">
            <c:ext xmlns:c16="http://schemas.microsoft.com/office/drawing/2014/chart" uri="{C3380CC4-5D6E-409C-BE32-E72D297353CC}">
              <c16:uniqueId val="{00000001-31EB-402A-933D-99D48871A44E}"/>
            </c:ext>
          </c:extLst>
        </c:ser>
        <c:ser>
          <c:idx val="2"/>
          <c:order val="2"/>
          <c:tx>
            <c:strRef>
              <c:f>CostAllocationExample!$AD$7</c:f>
              <c:strCache>
                <c:ptCount val="1"/>
                <c:pt idx="0">
                  <c:v>NI_IR 4 SI_Risk</c:v>
                </c:pt>
              </c:strCache>
            </c:strRef>
          </c:tx>
          <c:spPr>
            <a:solidFill>
              <a:schemeClr val="accent1">
                <a:lumMod val="20000"/>
                <a:lumOff val="80000"/>
              </a:schemeClr>
            </a:solidFill>
            <a:ln>
              <a:noFill/>
            </a:ln>
            <a:effectLst/>
          </c:spPr>
          <c:invertIfNegative val="0"/>
          <c:cat>
            <c:multiLvlStrRef>
              <c:f>CostAllocationExample!$Y$8:$AA$55</c:f>
              <c:multiLvlStrCache>
                <c:ptCount val="48"/>
                <c:lvl>
                  <c:pt idx="0">
                    <c:v>0 </c:v>
                  </c:pt>
                  <c:pt idx="1">
                    <c:v>10 </c:v>
                  </c:pt>
                  <c:pt idx="2">
                    <c:v>100 </c:v>
                  </c:pt>
                  <c:pt idx="3">
                    <c:v>220 </c:v>
                  </c:pt>
                  <c:pt idx="4">
                    <c:v>0 </c:v>
                  </c:pt>
                  <c:pt idx="5">
                    <c:v>10 </c:v>
                  </c:pt>
                  <c:pt idx="6">
                    <c:v>100 </c:v>
                  </c:pt>
                  <c:pt idx="7">
                    <c:v>220 </c:v>
                  </c:pt>
                  <c:pt idx="8">
                    <c:v>0 </c:v>
                  </c:pt>
                  <c:pt idx="9">
                    <c:v>10 </c:v>
                  </c:pt>
                  <c:pt idx="10">
                    <c:v>100 </c:v>
                  </c:pt>
                  <c:pt idx="11">
                    <c:v>220 </c:v>
                  </c:pt>
                  <c:pt idx="12">
                    <c:v>0 </c:v>
                  </c:pt>
                  <c:pt idx="13">
                    <c:v>10 </c:v>
                  </c:pt>
                  <c:pt idx="14">
                    <c:v>100 </c:v>
                  </c:pt>
                  <c:pt idx="15">
                    <c:v>220 </c:v>
                  </c:pt>
                  <c:pt idx="16">
                    <c:v>0 </c:v>
                  </c:pt>
                  <c:pt idx="17">
                    <c:v>10 </c:v>
                  </c:pt>
                  <c:pt idx="18">
                    <c:v>100 </c:v>
                  </c:pt>
                  <c:pt idx="19">
                    <c:v>220 </c:v>
                  </c:pt>
                  <c:pt idx="20">
                    <c:v>0 </c:v>
                  </c:pt>
                  <c:pt idx="21">
                    <c:v>10 </c:v>
                  </c:pt>
                  <c:pt idx="22">
                    <c:v>100 </c:v>
                  </c:pt>
                  <c:pt idx="23">
                    <c:v>220 </c:v>
                  </c:pt>
                  <c:pt idx="24">
                    <c:v>0 </c:v>
                  </c:pt>
                  <c:pt idx="25">
                    <c:v>10 </c:v>
                  </c:pt>
                  <c:pt idx="26">
                    <c:v>100 </c:v>
                  </c:pt>
                  <c:pt idx="27">
                    <c:v>220 </c:v>
                  </c:pt>
                  <c:pt idx="28">
                    <c:v>0 </c:v>
                  </c:pt>
                  <c:pt idx="29">
                    <c:v>10 </c:v>
                  </c:pt>
                  <c:pt idx="30">
                    <c:v>100 </c:v>
                  </c:pt>
                  <c:pt idx="31">
                    <c:v>220 </c:v>
                  </c:pt>
                  <c:pt idx="32">
                    <c:v>0 </c:v>
                  </c:pt>
                  <c:pt idx="33">
                    <c:v>10 </c:v>
                  </c:pt>
                  <c:pt idx="34">
                    <c:v>100 </c:v>
                  </c:pt>
                  <c:pt idx="35">
                    <c:v>220 </c:v>
                  </c:pt>
                  <c:pt idx="36">
                    <c:v>0 </c:v>
                  </c:pt>
                  <c:pt idx="37">
                    <c:v>10 </c:v>
                  </c:pt>
                  <c:pt idx="38">
                    <c:v>100 </c:v>
                  </c:pt>
                  <c:pt idx="39">
                    <c:v>220 </c:v>
                  </c:pt>
                  <c:pt idx="40">
                    <c:v>0 </c:v>
                  </c:pt>
                  <c:pt idx="41">
                    <c:v>10 </c:v>
                  </c:pt>
                  <c:pt idx="42">
                    <c:v>100 </c:v>
                  </c:pt>
                  <c:pt idx="43">
                    <c:v>220 </c:v>
                  </c:pt>
                  <c:pt idx="44">
                    <c:v>0 </c:v>
                  </c:pt>
                  <c:pt idx="45">
                    <c:v>10 </c:v>
                  </c:pt>
                  <c:pt idx="46">
                    <c:v>100 </c:v>
                  </c:pt>
                  <c:pt idx="47">
                    <c:v>220 </c:v>
                  </c:pt>
                </c:lvl>
                <c:lvl>
                  <c:pt idx="0">
                    <c:v>102 MW</c:v>
                  </c:pt>
                  <c:pt idx="4">
                    <c:v>302 MW</c:v>
                  </c:pt>
                  <c:pt idx="8">
                    <c:v>502 MW</c:v>
                  </c:pt>
                  <c:pt idx="12">
                    <c:v>102 MW</c:v>
                  </c:pt>
                  <c:pt idx="16">
                    <c:v>302 MW</c:v>
                  </c:pt>
                  <c:pt idx="20">
                    <c:v>502 MW</c:v>
                  </c:pt>
                  <c:pt idx="24">
                    <c:v>102 MW</c:v>
                  </c:pt>
                  <c:pt idx="28">
                    <c:v>302 MW</c:v>
                  </c:pt>
                  <c:pt idx="32">
                    <c:v>502 MW</c:v>
                  </c:pt>
                  <c:pt idx="36">
                    <c:v>102 MW</c:v>
                  </c:pt>
                  <c:pt idx="40">
                    <c:v>302 MW</c:v>
                  </c:pt>
                  <c:pt idx="44">
                    <c:v>502 MW</c:v>
                  </c:pt>
                </c:lvl>
                <c:lvl>
                  <c:pt idx="0">
                    <c:v>0 MW</c:v>
                  </c:pt>
                  <c:pt idx="12">
                    <c:v>10 MW</c:v>
                  </c:pt>
                  <c:pt idx="24">
                    <c:v>100 MW</c:v>
                  </c:pt>
                  <c:pt idx="36">
                    <c:v>220 MW</c:v>
                  </c:pt>
                </c:lvl>
              </c:multiLvlStrCache>
            </c:multiLvlStrRef>
          </c:cat>
          <c:val>
            <c:numRef>
              <c:f>CostAllocationExample!$AD$8:$AD$55</c:f>
              <c:numCache>
                <c:formatCode>#,##0_ ;[Red]\-#,##0\ </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xmlns:c16r2="http://schemas.microsoft.com/office/drawing/2015/06/chart">
            <c:ext xmlns:c16="http://schemas.microsoft.com/office/drawing/2014/chart" uri="{C3380CC4-5D6E-409C-BE32-E72D297353CC}">
              <c16:uniqueId val="{00000002-31EB-402A-933D-99D48871A44E}"/>
            </c:ext>
          </c:extLst>
        </c:ser>
        <c:ser>
          <c:idx val="3"/>
          <c:order val="3"/>
          <c:tx>
            <c:strRef>
              <c:f>CostAllocationExample!$AE$7</c:f>
              <c:strCache>
                <c:ptCount val="1"/>
                <c:pt idx="0">
                  <c:v>SI_IR 4 NI_Risk</c:v>
                </c:pt>
              </c:strCache>
            </c:strRef>
          </c:tx>
          <c:spPr>
            <a:solidFill>
              <a:schemeClr val="accent2">
                <a:lumMod val="20000"/>
                <a:lumOff val="80000"/>
              </a:schemeClr>
            </a:solidFill>
            <a:ln>
              <a:noFill/>
            </a:ln>
            <a:effectLst/>
          </c:spPr>
          <c:invertIfNegative val="0"/>
          <c:cat>
            <c:multiLvlStrRef>
              <c:f>CostAllocationExample!$Y$8:$AA$55</c:f>
              <c:multiLvlStrCache>
                <c:ptCount val="48"/>
                <c:lvl>
                  <c:pt idx="0">
                    <c:v>0 </c:v>
                  </c:pt>
                  <c:pt idx="1">
                    <c:v>10 </c:v>
                  </c:pt>
                  <c:pt idx="2">
                    <c:v>100 </c:v>
                  </c:pt>
                  <c:pt idx="3">
                    <c:v>220 </c:v>
                  </c:pt>
                  <c:pt idx="4">
                    <c:v>0 </c:v>
                  </c:pt>
                  <c:pt idx="5">
                    <c:v>10 </c:v>
                  </c:pt>
                  <c:pt idx="6">
                    <c:v>100 </c:v>
                  </c:pt>
                  <c:pt idx="7">
                    <c:v>220 </c:v>
                  </c:pt>
                  <c:pt idx="8">
                    <c:v>0 </c:v>
                  </c:pt>
                  <c:pt idx="9">
                    <c:v>10 </c:v>
                  </c:pt>
                  <c:pt idx="10">
                    <c:v>100 </c:v>
                  </c:pt>
                  <c:pt idx="11">
                    <c:v>220 </c:v>
                  </c:pt>
                  <c:pt idx="12">
                    <c:v>0 </c:v>
                  </c:pt>
                  <c:pt idx="13">
                    <c:v>10 </c:v>
                  </c:pt>
                  <c:pt idx="14">
                    <c:v>100 </c:v>
                  </c:pt>
                  <c:pt idx="15">
                    <c:v>220 </c:v>
                  </c:pt>
                  <c:pt idx="16">
                    <c:v>0 </c:v>
                  </c:pt>
                  <c:pt idx="17">
                    <c:v>10 </c:v>
                  </c:pt>
                  <c:pt idx="18">
                    <c:v>100 </c:v>
                  </c:pt>
                  <c:pt idx="19">
                    <c:v>220 </c:v>
                  </c:pt>
                  <c:pt idx="20">
                    <c:v>0 </c:v>
                  </c:pt>
                  <c:pt idx="21">
                    <c:v>10 </c:v>
                  </c:pt>
                  <c:pt idx="22">
                    <c:v>100 </c:v>
                  </c:pt>
                  <c:pt idx="23">
                    <c:v>220 </c:v>
                  </c:pt>
                  <c:pt idx="24">
                    <c:v>0 </c:v>
                  </c:pt>
                  <c:pt idx="25">
                    <c:v>10 </c:v>
                  </c:pt>
                  <c:pt idx="26">
                    <c:v>100 </c:v>
                  </c:pt>
                  <c:pt idx="27">
                    <c:v>220 </c:v>
                  </c:pt>
                  <c:pt idx="28">
                    <c:v>0 </c:v>
                  </c:pt>
                  <c:pt idx="29">
                    <c:v>10 </c:v>
                  </c:pt>
                  <c:pt idx="30">
                    <c:v>100 </c:v>
                  </c:pt>
                  <c:pt idx="31">
                    <c:v>220 </c:v>
                  </c:pt>
                  <c:pt idx="32">
                    <c:v>0 </c:v>
                  </c:pt>
                  <c:pt idx="33">
                    <c:v>10 </c:v>
                  </c:pt>
                  <c:pt idx="34">
                    <c:v>100 </c:v>
                  </c:pt>
                  <c:pt idx="35">
                    <c:v>220 </c:v>
                  </c:pt>
                  <c:pt idx="36">
                    <c:v>0 </c:v>
                  </c:pt>
                  <c:pt idx="37">
                    <c:v>10 </c:v>
                  </c:pt>
                  <c:pt idx="38">
                    <c:v>100 </c:v>
                  </c:pt>
                  <c:pt idx="39">
                    <c:v>220 </c:v>
                  </c:pt>
                  <c:pt idx="40">
                    <c:v>0 </c:v>
                  </c:pt>
                  <c:pt idx="41">
                    <c:v>10 </c:v>
                  </c:pt>
                  <c:pt idx="42">
                    <c:v>100 </c:v>
                  </c:pt>
                  <c:pt idx="43">
                    <c:v>220 </c:v>
                  </c:pt>
                  <c:pt idx="44">
                    <c:v>0 </c:v>
                  </c:pt>
                  <c:pt idx="45">
                    <c:v>10 </c:v>
                  </c:pt>
                  <c:pt idx="46">
                    <c:v>100 </c:v>
                  </c:pt>
                  <c:pt idx="47">
                    <c:v>220 </c:v>
                  </c:pt>
                </c:lvl>
                <c:lvl>
                  <c:pt idx="0">
                    <c:v>102 MW</c:v>
                  </c:pt>
                  <c:pt idx="4">
                    <c:v>302 MW</c:v>
                  </c:pt>
                  <c:pt idx="8">
                    <c:v>502 MW</c:v>
                  </c:pt>
                  <c:pt idx="12">
                    <c:v>102 MW</c:v>
                  </c:pt>
                  <c:pt idx="16">
                    <c:v>302 MW</c:v>
                  </c:pt>
                  <c:pt idx="20">
                    <c:v>502 MW</c:v>
                  </c:pt>
                  <c:pt idx="24">
                    <c:v>102 MW</c:v>
                  </c:pt>
                  <c:pt idx="28">
                    <c:v>302 MW</c:v>
                  </c:pt>
                  <c:pt idx="32">
                    <c:v>502 MW</c:v>
                  </c:pt>
                  <c:pt idx="36">
                    <c:v>102 MW</c:v>
                  </c:pt>
                  <c:pt idx="40">
                    <c:v>302 MW</c:v>
                  </c:pt>
                  <c:pt idx="44">
                    <c:v>502 MW</c:v>
                  </c:pt>
                </c:lvl>
                <c:lvl>
                  <c:pt idx="0">
                    <c:v>0 MW</c:v>
                  </c:pt>
                  <c:pt idx="12">
                    <c:v>10 MW</c:v>
                  </c:pt>
                  <c:pt idx="24">
                    <c:v>100 MW</c:v>
                  </c:pt>
                  <c:pt idx="36">
                    <c:v>220 MW</c:v>
                  </c:pt>
                </c:lvl>
              </c:multiLvlStrCache>
            </c:multiLvlStrRef>
          </c:cat>
          <c:val>
            <c:numRef>
              <c:f>CostAllocationExample!$AE$8:$AE$55</c:f>
              <c:numCache>
                <c:formatCode>#,##0_ ;[Red]\-#,##0\ </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98</c:v>
                </c:pt>
                <c:pt idx="40">
                  <c:v>0</c:v>
                </c:pt>
                <c:pt idx="41">
                  <c:v>0</c:v>
                </c:pt>
                <c:pt idx="42">
                  <c:v>0</c:v>
                </c:pt>
                <c:pt idx="43">
                  <c:v>0</c:v>
                </c:pt>
                <c:pt idx="44">
                  <c:v>0</c:v>
                </c:pt>
                <c:pt idx="45">
                  <c:v>0</c:v>
                </c:pt>
                <c:pt idx="46">
                  <c:v>0</c:v>
                </c:pt>
                <c:pt idx="47">
                  <c:v>0</c:v>
                </c:pt>
              </c:numCache>
            </c:numRef>
          </c:val>
          <c:extLst xmlns:c16r2="http://schemas.microsoft.com/office/drawing/2015/06/chart">
            <c:ext xmlns:c16="http://schemas.microsoft.com/office/drawing/2014/chart" uri="{C3380CC4-5D6E-409C-BE32-E72D297353CC}">
              <c16:uniqueId val="{00000003-31EB-402A-933D-99D48871A44E}"/>
            </c:ext>
          </c:extLst>
        </c:ser>
        <c:ser>
          <c:idx val="4"/>
          <c:order val="4"/>
          <c:tx>
            <c:strRef>
              <c:f>CostAllocationExample!$AF$7</c:f>
              <c:strCache>
                <c:ptCount val="1"/>
                <c:pt idx="0">
                  <c:v>SI_IR 4 shared_risk</c:v>
                </c:pt>
              </c:strCache>
            </c:strRef>
          </c:tx>
          <c:spPr>
            <a:solidFill>
              <a:schemeClr val="accent2">
                <a:lumMod val="60000"/>
                <a:lumOff val="40000"/>
              </a:schemeClr>
            </a:solidFill>
            <a:ln>
              <a:noFill/>
            </a:ln>
            <a:effectLst/>
          </c:spPr>
          <c:invertIfNegative val="0"/>
          <c:cat>
            <c:multiLvlStrRef>
              <c:f>CostAllocationExample!$Y$8:$AA$55</c:f>
              <c:multiLvlStrCache>
                <c:ptCount val="48"/>
                <c:lvl>
                  <c:pt idx="0">
                    <c:v>0 </c:v>
                  </c:pt>
                  <c:pt idx="1">
                    <c:v>10 </c:v>
                  </c:pt>
                  <c:pt idx="2">
                    <c:v>100 </c:v>
                  </c:pt>
                  <c:pt idx="3">
                    <c:v>220 </c:v>
                  </c:pt>
                  <c:pt idx="4">
                    <c:v>0 </c:v>
                  </c:pt>
                  <c:pt idx="5">
                    <c:v>10 </c:v>
                  </c:pt>
                  <c:pt idx="6">
                    <c:v>100 </c:v>
                  </c:pt>
                  <c:pt idx="7">
                    <c:v>220 </c:v>
                  </c:pt>
                  <c:pt idx="8">
                    <c:v>0 </c:v>
                  </c:pt>
                  <c:pt idx="9">
                    <c:v>10 </c:v>
                  </c:pt>
                  <c:pt idx="10">
                    <c:v>100 </c:v>
                  </c:pt>
                  <c:pt idx="11">
                    <c:v>220 </c:v>
                  </c:pt>
                  <c:pt idx="12">
                    <c:v>0 </c:v>
                  </c:pt>
                  <c:pt idx="13">
                    <c:v>10 </c:v>
                  </c:pt>
                  <c:pt idx="14">
                    <c:v>100 </c:v>
                  </c:pt>
                  <c:pt idx="15">
                    <c:v>220 </c:v>
                  </c:pt>
                  <c:pt idx="16">
                    <c:v>0 </c:v>
                  </c:pt>
                  <c:pt idx="17">
                    <c:v>10 </c:v>
                  </c:pt>
                  <c:pt idx="18">
                    <c:v>100 </c:v>
                  </c:pt>
                  <c:pt idx="19">
                    <c:v>220 </c:v>
                  </c:pt>
                  <c:pt idx="20">
                    <c:v>0 </c:v>
                  </c:pt>
                  <c:pt idx="21">
                    <c:v>10 </c:v>
                  </c:pt>
                  <c:pt idx="22">
                    <c:v>100 </c:v>
                  </c:pt>
                  <c:pt idx="23">
                    <c:v>220 </c:v>
                  </c:pt>
                  <c:pt idx="24">
                    <c:v>0 </c:v>
                  </c:pt>
                  <c:pt idx="25">
                    <c:v>10 </c:v>
                  </c:pt>
                  <c:pt idx="26">
                    <c:v>100 </c:v>
                  </c:pt>
                  <c:pt idx="27">
                    <c:v>220 </c:v>
                  </c:pt>
                  <c:pt idx="28">
                    <c:v>0 </c:v>
                  </c:pt>
                  <c:pt idx="29">
                    <c:v>10 </c:v>
                  </c:pt>
                  <c:pt idx="30">
                    <c:v>100 </c:v>
                  </c:pt>
                  <c:pt idx="31">
                    <c:v>220 </c:v>
                  </c:pt>
                  <c:pt idx="32">
                    <c:v>0 </c:v>
                  </c:pt>
                  <c:pt idx="33">
                    <c:v>10 </c:v>
                  </c:pt>
                  <c:pt idx="34">
                    <c:v>100 </c:v>
                  </c:pt>
                  <c:pt idx="35">
                    <c:v>220 </c:v>
                  </c:pt>
                  <c:pt idx="36">
                    <c:v>0 </c:v>
                  </c:pt>
                  <c:pt idx="37">
                    <c:v>10 </c:v>
                  </c:pt>
                  <c:pt idx="38">
                    <c:v>100 </c:v>
                  </c:pt>
                  <c:pt idx="39">
                    <c:v>220 </c:v>
                  </c:pt>
                  <c:pt idx="40">
                    <c:v>0 </c:v>
                  </c:pt>
                  <c:pt idx="41">
                    <c:v>10 </c:v>
                  </c:pt>
                  <c:pt idx="42">
                    <c:v>100 </c:v>
                  </c:pt>
                  <c:pt idx="43">
                    <c:v>220 </c:v>
                  </c:pt>
                  <c:pt idx="44">
                    <c:v>0 </c:v>
                  </c:pt>
                  <c:pt idx="45">
                    <c:v>10 </c:v>
                  </c:pt>
                  <c:pt idx="46">
                    <c:v>100 </c:v>
                  </c:pt>
                  <c:pt idx="47">
                    <c:v>220 </c:v>
                  </c:pt>
                </c:lvl>
                <c:lvl>
                  <c:pt idx="0">
                    <c:v>102 MW</c:v>
                  </c:pt>
                  <c:pt idx="4">
                    <c:v>302 MW</c:v>
                  </c:pt>
                  <c:pt idx="8">
                    <c:v>502 MW</c:v>
                  </c:pt>
                  <c:pt idx="12">
                    <c:v>102 MW</c:v>
                  </c:pt>
                  <c:pt idx="16">
                    <c:v>302 MW</c:v>
                  </c:pt>
                  <c:pt idx="20">
                    <c:v>502 MW</c:v>
                  </c:pt>
                  <c:pt idx="24">
                    <c:v>102 MW</c:v>
                  </c:pt>
                  <c:pt idx="28">
                    <c:v>302 MW</c:v>
                  </c:pt>
                  <c:pt idx="32">
                    <c:v>502 MW</c:v>
                  </c:pt>
                  <c:pt idx="36">
                    <c:v>102 MW</c:v>
                  </c:pt>
                  <c:pt idx="40">
                    <c:v>302 MW</c:v>
                  </c:pt>
                  <c:pt idx="44">
                    <c:v>502 MW</c:v>
                  </c:pt>
                </c:lvl>
                <c:lvl>
                  <c:pt idx="0">
                    <c:v>0 MW</c:v>
                  </c:pt>
                  <c:pt idx="12">
                    <c:v>10 MW</c:v>
                  </c:pt>
                  <c:pt idx="24">
                    <c:v>100 MW</c:v>
                  </c:pt>
                  <c:pt idx="36">
                    <c:v>220 MW</c:v>
                  </c:pt>
                </c:lvl>
              </c:multiLvlStrCache>
            </c:multiLvlStrRef>
          </c:cat>
          <c:val>
            <c:numRef>
              <c:f>CostAllocationExample!$AF$8:$AF$55</c:f>
              <c:numCache>
                <c:formatCode>#,##0_ ;[Red]\-#,##0\ </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10</c:v>
                </c:pt>
                <c:pt idx="14">
                  <c:v>10</c:v>
                </c:pt>
                <c:pt idx="15">
                  <c:v>10</c:v>
                </c:pt>
                <c:pt idx="16">
                  <c:v>0</c:v>
                </c:pt>
                <c:pt idx="17">
                  <c:v>10</c:v>
                </c:pt>
                <c:pt idx="18">
                  <c:v>10</c:v>
                </c:pt>
                <c:pt idx="19">
                  <c:v>10</c:v>
                </c:pt>
                <c:pt idx="20">
                  <c:v>0</c:v>
                </c:pt>
                <c:pt idx="21">
                  <c:v>0</c:v>
                </c:pt>
                <c:pt idx="22">
                  <c:v>0</c:v>
                </c:pt>
                <c:pt idx="23">
                  <c:v>0</c:v>
                </c:pt>
                <c:pt idx="24">
                  <c:v>0</c:v>
                </c:pt>
                <c:pt idx="25">
                  <c:v>10</c:v>
                </c:pt>
                <c:pt idx="26">
                  <c:v>100</c:v>
                </c:pt>
                <c:pt idx="27">
                  <c:v>100</c:v>
                </c:pt>
                <c:pt idx="28">
                  <c:v>0</c:v>
                </c:pt>
                <c:pt idx="29">
                  <c:v>10</c:v>
                </c:pt>
                <c:pt idx="30">
                  <c:v>98</c:v>
                </c:pt>
                <c:pt idx="31">
                  <c:v>98</c:v>
                </c:pt>
                <c:pt idx="32">
                  <c:v>0</c:v>
                </c:pt>
                <c:pt idx="33">
                  <c:v>0</c:v>
                </c:pt>
                <c:pt idx="34">
                  <c:v>0</c:v>
                </c:pt>
                <c:pt idx="35">
                  <c:v>0</c:v>
                </c:pt>
                <c:pt idx="36">
                  <c:v>0</c:v>
                </c:pt>
                <c:pt idx="37">
                  <c:v>10</c:v>
                </c:pt>
                <c:pt idx="38">
                  <c:v>100</c:v>
                </c:pt>
                <c:pt idx="39">
                  <c:v>122</c:v>
                </c:pt>
                <c:pt idx="40">
                  <c:v>0</c:v>
                </c:pt>
                <c:pt idx="41">
                  <c:v>10</c:v>
                </c:pt>
                <c:pt idx="42">
                  <c:v>98</c:v>
                </c:pt>
                <c:pt idx="43">
                  <c:v>98</c:v>
                </c:pt>
                <c:pt idx="44">
                  <c:v>0</c:v>
                </c:pt>
                <c:pt idx="45">
                  <c:v>0</c:v>
                </c:pt>
                <c:pt idx="46">
                  <c:v>0</c:v>
                </c:pt>
                <c:pt idx="47">
                  <c:v>0</c:v>
                </c:pt>
              </c:numCache>
            </c:numRef>
          </c:val>
          <c:extLst xmlns:c16r2="http://schemas.microsoft.com/office/drawing/2015/06/chart">
            <c:ext xmlns:c16="http://schemas.microsoft.com/office/drawing/2014/chart" uri="{C3380CC4-5D6E-409C-BE32-E72D297353CC}">
              <c16:uniqueId val="{00000004-31EB-402A-933D-99D48871A44E}"/>
            </c:ext>
          </c:extLst>
        </c:ser>
        <c:ser>
          <c:idx val="5"/>
          <c:order val="5"/>
          <c:tx>
            <c:strRef>
              <c:f>CostAllocationExample!$AG$7</c:f>
              <c:strCache>
                <c:ptCount val="1"/>
                <c:pt idx="0">
                  <c:v>SI_IR 4 SI_Risk</c:v>
                </c:pt>
              </c:strCache>
            </c:strRef>
          </c:tx>
          <c:spPr>
            <a:solidFill>
              <a:schemeClr val="accent2"/>
            </a:solidFill>
            <a:ln>
              <a:noFill/>
            </a:ln>
            <a:effectLst/>
          </c:spPr>
          <c:invertIfNegative val="0"/>
          <c:cat>
            <c:multiLvlStrRef>
              <c:f>CostAllocationExample!$Y$8:$AA$55</c:f>
              <c:multiLvlStrCache>
                <c:ptCount val="48"/>
                <c:lvl>
                  <c:pt idx="0">
                    <c:v>0 </c:v>
                  </c:pt>
                  <c:pt idx="1">
                    <c:v>10 </c:v>
                  </c:pt>
                  <c:pt idx="2">
                    <c:v>100 </c:v>
                  </c:pt>
                  <c:pt idx="3">
                    <c:v>220 </c:v>
                  </c:pt>
                  <c:pt idx="4">
                    <c:v>0 </c:v>
                  </c:pt>
                  <c:pt idx="5">
                    <c:v>10 </c:v>
                  </c:pt>
                  <c:pt idx="6">
                    <c:v>100 </c:v>
                  </c:pt>
                  <c:pt idx="7">
                    <c:v>220 </c:v>
                  </c:pt>
                  <c:pt idx="8">
                    <c:v>0 </c:v>
                  </c:pt>
                  <c:pt idx="9">
                    <c:v>10 </c:v>
                  </c:pt>
                  <c:pt idx="10">
                    <c:v>100 </c:v>
                  </c:pt>
                  <c:pt idx="11">
                    <c:v>220 </c:v>
                  </c:pt>
                  <c:pt idx="12">
                    <c:v>0 </c:v>
                  </c:pt>
                  <c:pt idx="13">
                    <c:v>10 </c:v>
                  </c:pt>
                  <c:pt idx="14">
                    <c:v>100 </c:v>
                  </c:pt>
                  <c:pt idx="15">
                    <c:v>220 </c:v>
                  </c:pt>
                  <c:pt idx="16">
                    <c:v>0 </c:v>
                  </c:pt>
                  <c:pt idx="17">
                    <c:v>10 </c:v>
                  </c:pt>
                  <c:pt idx="18">
                    <c:v>100 </c:v>
                  </c:pt>
                  <c:pt idx="19">
                    <c:v>220 </c:v>
                  </c:pt>
                  <c:pt idx="20">
                    <c:v>0 </c:v>
                  </c:pt>
                  <c:pt idx="21">
                    <c:v>10 </c:v>
                  </c:pt>
                  <c:pt idx="22">
                    <c:v>100 </c:v>
                  </c:pt>
                  <c:pt idx="23">
                    <c:v>220 </c:v>
                  </c:pt>
                  <c:pt idx="24">
                    <c:v>0 </c:v>
                  </c:pt>
                  <c:pt idx="25">
                    <c:v>10 </c:v>
                  </c:pt>
                  <c:pt idx="26">
                    <c:v>100 </c:v>
                  </c:pt>
                  <c:pt idx="27">
                    <c:v>220 </c:v>
                  </c:pt>
                  <c:pt idx="28">
                    <c:v>0 </c:v>
                  </c:pt>
                  <c:pt idx="29">
                    <c:v>10 </c:v>
                  </c:pt>
                  <c:pt idx="30">
                    <c:v>100 </c:v>
                  </c:pt>
                  <c:pt idx="31">
                    <c:v>220 </c:v>
                  </c:pt>
                  <c:pt idx="32">
                    <c:v>0 </c:v>
                  </c:pt>
                  <c:pt idx="33">
                    <c:v>10 </c:v>
                  </c:pt>
                  <c:pt idx="34">
                    <c:v>100 </c:v>
                  </c:pt>
                  <c:pt idx="35">
                    <c:v>220 </c:v>
                  </c:pt>
                  <c:pt idx="36">
                    <c:v>0 </c:v>
                  </c:pt>
                  <c:pt idx="37">
                    <c:v>10 </c:v>
                  </c:pt>
                  <c:pt idx="38">
                    <c:v>100 </c:v>
                  </c:pt>
                  <c:pt idx="39">
                    <c:v>220 </c:v>
                  </c:pt>
                  <c:pt idx="40">
                    <c:v>0 </c:v>
                  </c:pt>
                  <c:pt idx="41">
                    <c:v>10 </c:v>
                  </c:pt>
                  <c:pt idx="42">
                    <c:v>100 </c:v>
                  </c:pt>
                  <c:pt idx="43">
                    <c:v>220 </c:v>
                  </c:pt>
                  <c:pt idx="44">
                    <c:v>0 </c:v>
                  </c:pt>
                  <c:pt idx="45">
                    <c:v>10 </c:v>
                  </c:pt>
                  <c:pt idx="46">
                    <c:v>100 </c:v>
                  </c:pt>
                  <c:pt idx="47">
                    <c:v>220 </c:v>
                  </c:pt>
                </c:lvl>
                <c:lvl>
                  <c:pt idx="0">
                    <c:v>102 MW</c:v>
                  </c:pt>
                  <c:pt idx="4">
                    <c:v>302 MW</c:v>
                  </c:pt>
                  <c:pt idx="8">
                    <c:v>502 MW</c:v>
                  </c:pt>
                  <c:pt idx="12">
                    <c:v>102 MW</c:v>
                  </c:pt>
                  <c:pt idx="16">
                    <c:v>302 MW</c:v>
                  </c:pt>
                  <c:pt idx="20">
                    <c:v>502 MW</c:v>
                  </c:pt>
                  <c:pt idx="24">
                    <c:v>102 MW</c:v>
                  </c:pt>
                  <c:pt idx="28">
                    <c:v>302 MW</c:v>
                  </c:pt>
                  <c:pt idx="32">
                    <c:v>502 MW</c:v>
                  </c:pt>
                  <c:pt idx="36">
                    <c:v>102 MW</c:v>
                  </c:pt>
                  <c:pt idx="40">
                    <c:v>302 MW</c:v>
                  </c:pt>
                  <c:pt idx="44">
                    <c:v>502 MW</c:v>
                  </c:pt>
                </c:lvl>
                <c:lvl>
                  <c:pt idx="0">
                    <c:v>0 MW</c:v>
                  </c:pt>
                  <c:pt idx="12">
                    <c:v>10 MW</c:v>
                  </c:pt>
                  <c:pt idx="24">
                    <c:v>100 MW</c:v>
                  </c:pt>
                  <c:pt idx="36">
                    <c:v>220 MW</c:v>
                  </c:pt>
                </c:lvl>
              </c:multiLvlStrCache>
            </c:multiLvlStrRef>
          </c:cat>
          <c:val>
            <c:numRef>
              <c:f>CostAllocationExample!$AG$8:$AG$55</c:f>
              <c:numCache>
                <c:formatCode>#,##0_ ;[Red]\-#,##0\ </c:formatCode>
                <c:ptCount val="48"/>
                <c:pt idx="0">
                  <c:v>122</c:v>
                </c:pt>
                <c:pt idx="1">
                  <c:v>122</c:v>
                </c:pt>
                <c:pt idx="2">
                  <c:v>122</c:v>
                </c:pt>
                <c:pt idx="3">
                  <c:v>122</c:v>
                </c:pt>
                <c:pt idx="4">
                  <c:v>122</c:v>
                </c:pt>
                <c:pt idx="5">
                  <c:v>122</c:v>
                </c:pt>
                <c:pt idx="6">
                  <c:v>122</c:v>
                </c:pt>
                <c:pt idx="7">
                  <c:v>122</c:v>
                </c:pt>
                <c:pt idx="8">
                  <c:v>122</c:v>
                </c:pt>
                <c:pt idx="9">
                  <c:v>122</c:v>
                </c:pt>
                <c:pt idx="10">
                  <c:v>122</c:v>
                </c:pt>
                <c:pt idx="11">
                  <c:v>122</c:v>
                </c:pt>
                <c:pt idx="12">
                  <c:v>112</c:v>
                </c:pt>
                <c:pt idx="13">
                  <c:v>102</c:v>
                </c:pt>
                <c:pt idx="14">
                  <c:v>102</c:v>
                </c:pt>
                <c:pt idx="15">
                  <c:v>102</c:v>
                </c:pt>
                <c:pt idx="16">
                  <c:v>112</c:v>
                </c:pt>
                <c:pt idx="17">
                  <c:v>102</c:v>
                </c:pt>
                <c:pt idx="18">
                  <c:v>102</c:v>
                </c:pt>
                <c:pt idx="19">
                  <c:v>102</c:v>
                </c:pt>
                <c:pt idx="20">
                  <c:v>112</c:v>
                </c:pt>
                <c:pt idx="21">
                  <c:v>112</c:v>
                </c:pt>
                <c:pt idx="22">
                  <c:v>112</c:v>
                </c:pt>
                <c:pt idx="23">
                  <c:v>112</c:v>
                </c:pt>
                <c:pt idx="24">
                  <c:v>22</c:v>
                </c:pt>
                <c:pt idx="25">
                  <c:v>12</c:v>
                </c:pt>
                <c:pt idx="26">
                  <c:v>0</c:v>
                </c:pt>
                <c:pt idx="27">
                  <c:v>0</c:v>
                </c:pt>
                <c:pt idx="28">
                  <c:v>22</c:v>
                </c:pt>
                <c:pt idx="29">
                  <c:v>12</c:v>
                </c:pt>
                <c:pt idx="30">
                  <c:v>0</c:v>
                </c:pt>
                <c:pt idx="31">
                  <c:v>0</c:v>
                </c:pt>
                <c:pt idx="32">
                  <c:v>22</c:v>
                </c:pt>
                <c:pt idx="33">
                  <c:v>22</c:v>
                </c:pt>
                <c:pt idx="34">
                  <c:v>22</c:v>
                </c:pt>
                <c:pt idx="35">
                  <c:v>22</c:v>
                </c:pt>
                <c:pt idx="36">
                  <c:v>0</c:v>
                </c:pt>
                <c:pt idx="37">
                  <c:v>0</c:v>
                </c:pt>
                <c:pt idx="38">
                  <c:v>0</c:v>
                </c:pt>
                <c:pt idx="39">
                  <c:v>0</c:v>
                </c:pt>
                <c:pt idx="40">
                  <c:v>0</c:v>
                </c:pt>
                <c:pt idx="41">
                  <c:v>0</c:v>
                </c:pt>
                <c:pt idx="42">
                  <c:v>0</c:v>
                </c:pt>
                <c:pt idx="43">
                  <c:v>0</c:v>
                </c:pt>
                <c:pt idx="44">
                  <c:v>0</c:v>
                </c:pt>
                <c:pt idx="45">
                  <c:v>0</c:v>
                </c:pt>
                <c:pt idx="46">
                  <c:v>0</c:v>
                </c:pt>
                <c:pt idx="47">
                  <c:v>0</c:v>
                </c:pt>
              </c:numCache>
            </c:numRef>
          </c:val>
          <c:extLst xmlns:c16r2="http://schemas.microsoft.com/office/drawing/2015/06/chart">
            <c:ext xmlns:c16="http://schemas.microsoft.com/office/drawing/2014/chart" uri="{C3380CC4-5D6E-409C-BE32-E72D297353CC}">
              <c16:uniqueId val="{00000005-31EB-402A-933D-99D48871A44E}"/>
            </c:ext>
          </c:extLst>
        </c:ser>
        <c:dLbls>
          <c:showLegendKey val="0"/>
          <c:showVal val="0"/>
          <c:showCatName val="0"/>
          <c:showSerName val="0"/>
          <c:showPercent val="0"/>
          <c:showBubbleSize val="0"/>
        </c:dLbls>
        <c:gapWidth val="31"/>
        <c:overlap val="100"/>
        <c:axId val="227265920"/>
        <c:axId val="227271808"/>
      </c:barChart>
      <c:catAx>
        <c:axId val="22726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crossAx val="227271808"/>
        <c:crosses val="autoZero"/>
        <c:auto val="1"/>
        <c:lblAlgn val="ctr"/>
        <c:lblOffset val="100"/>
        <c:noMultiLvlLbl val="0"/>
      </c:catAx>
      <c:valAx>
        <c:axId val="227271808"/>
        <c:scaling>
          <c:orientation val="minMax"/>
          <c:max val="650"/>
          <c:min val="0"/>
        </c:scaling>
        <c:delete val="0"/>
        <c:axPos val="l"/>
        <c:majorGridlines>
          <c:spPr>
            <a:ln w="6350" cap="flat" cmpd="sng" algn="ctr">
              <a:solidFill>
                <a:schemeClr val="tx1">
                  <a:lumMod val="15000"/>
                  <a:lumOff val="85000"/>
                </a:schemeClr>
              </a:solidFill>
              <a:prstDash val="dash"/>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27265920"/>
        <c:crosses val="autoZero"/>
        <c:crossBetween val="between"/>
        <c:majorUnit val="50"/>
      </c:valAx>
      <c:spPr>
        <a:noFill/>
        <a:ln>
          <a:noFill/>
        </a:ln>
        <a:effectLst/>
      </c:spPr>
    </c:plotArea>
    <c:legend>
      <c:legendPos val="l"/>
      <c:layout>
        <c:manualLayout>
          <c:xMode val="edge"/>
          <c:yMode val="edge"/>
          <c:x val="4.8522087768507899E-4"/>
          <c:y val="0.13644689910464583"/>
          <c:w val="0.20026264556090156"/>
          <c:h val="0.4332824074369372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35308224972536E-2"/>
          <c:y val="2.4146320897837813E-2"/>
          <c:w val="0.88732033193797821"/>
          <c:h val="0.48435209845281468"/>
        </c:manualLayout>
      </c:layout>
      <c:barChart>
        <c:barDir val="col"/>
        <c:grouping val="stacked"/>
        <c:varyColors val="0"/>
        <c:ser>
          <c:idx val="0"/>
          <c:order val="0"/>
          <c:tx>
            <c:strRef>
              <c:f>CostAllocationExample!$CH$101</c:f>
              <c:strCache>
                <c:ptCount val="1"/>
                <c:pt idx="0">
                  <c:v>North gen. &gt; de minimis</c:v>
                </c:pt>
              </c:strCache>
            </c:strRef>
          </c:tx>
          <c:spPr>
            <a:solidFill>
              <a:schemeClr val="accent1"/>
            </a:solidFill>
            <a:ln>
              <a:noFill/>
            </a:ln>
            <a:effectLst/>
          </c:spPr>
          <c:invertIfNegative val="0"/>
          <c:cat>
            <c:multiLvlStrRef>
              <c:f>CostAllocationExample!$CF$102:$CG$121</c:f>
              <c:multiLvlStrCache>
                <c:ptCount val="20"/>
                <c:lvl>
                  <c:pt idx="0">
                    <c:v>Island</c:v>
                  </c:pt>
                  <c:pt idx="1">
                    <c:v>National</c:v>
                  </c:pt>
                  <c:pt idx="2">
                    <c:v>Factored by sharing limit</c:v>
                  </c:pt>
                  <c:pt idx="3">
                    <c:v>Cost to island causer</c:v>
                  </c:pt>
                  <c:pt idx="4">
                    <c:v>Cost to DC then island</c:v>
                  </c:pt>
                  <c:pt idx="5">
                    <c:v>Island</c:v>
                  </c:pt>
                  <c:pt idx="6">
                    <c:v>National</c:v>
                  </c:pt>
                  <c:pt idx="7">
                    <c:v>Factored by sharing limit</c:v>
                  </c:pt>
                  <c:pt idx="8">
                    <c:v>Cost to island causer</c:v>
                  </c:pt>
                  <c:pt idx="9">
                    <c:v>Cost to DC then island</c:v>
                  </c:pt>
                  <c:pt idx="10">
                    <c:v>Island</c:v>
                  </c:pt>
                  <c:pt idx="11">
                    <c:v>National</c:v>
                  </c:pt>
                  <c:pt idx="12">
                    <c:v>Factored by sharing limit</c:v>
                  </c:pt>
                  <c:pt idx="13">
                    <c:v>Cost to island causer</c:v>
                  </c:pt>
                  <c:pt idx="14">
                    <c:v>Cost to DC then island</c:v>
                  </c:pt>
                  <c:pt idx="15">
                    <c:v>Island</c:v>
                  </c:pt>
                  <c:pt idx="16">
                    <c:v>National</c:v>
                  </c:pt>
                  <c:pt idx="17">
                    <c:v>Factored by sharing limit</c:v>
                  </c:pt>
                  <c:pt idx="18">
                    <c:v>Cost to island causer</c:v>
                  </c:pt>
                  <c:pt idx="19">
                    <c:v>Cost to DC then island</c:v>
                  </c:pt>
                </c:lvl>
                <c:lvl>
                  <c:pt idx="0">
                    <c:v>0 MW
[0 MW]</c:v>
                  </c:pt>
                  <c:pt idx="5">
                    <c:v>700 MW
[202 MW]</c:v>
                  </c:pt>
                  <c:pt idx="10">
                    <c:v>900 MW
[402 MW]</c:v>
                  </c:pt>
                  <c:pt idx="15">
                    <c:v>1000 MW
[502 MW]</c:v>
                  </c:pt>
                </c:lvl>
              </c:multiLvlStrCache>
            </c:multiLvlStrRef>
          </c:cat>
          <c:val>
            <c:numRef>
              <c:f>CostAllocationExample!$CH$102:$CH$121</c:f>
              <c:numCache>
                <c:formatCode>#,##0_ ;[Red]\-#,##0\ </c:formatCode>
                <c:ptCount val="20"/>
                <c:pt idx="0">
                  <c:v>1800</c:v>
                </c:pt>
                <c:pt idx="1">
                  <c:v>1616.9888135179058</c:v>
                </c:pt>
                <c:pt idx="2">
                  <c:v>1699.3438474348482</c:v>
                </c:pt>
                <c:pt idx="3">
                  <c:v>1995.6597204203883</c:v>
                </c:pt>
                <c:pt idx="4">
                  <c:v>1995.6597204203883</c:v>
                </c:pt>
                <c:pt idx="5">
                  <c:v>1820.667129951355</c:v>
                </c:pt>
                <c:pt idx="6">
                  <c:v>1680.2466083922393</c:v>
                </c:pt>
                <c:pt idx="7">
                  <c:v>1743.4358430938414</c:v>
                </c:pt>
                <c:pt idx="8">
                  <c:v>2057.1379818536257</c:v>
                </c:pt>
                <c:pt idx="9">
                  <c:v>1860.6057538981252</c:v>
                </c:pt>
                <c:pt idx="10">
                  <c:v>3181.171446003661</c:v>
                </c:pt>
                <c:pt idx="11">
                  <c:v>2409.2012775333451</c:v>
                </c:pt>
                <c:pt idx="12">
                  <c:v>2797.1066855706681</c:v>
                </c:pt>
                <c:pt idx="13">
                  <c:v>2805.059685491085</c:v>
                </c:pt>
                <c:pt idx="14">
                  <c:v>1333.2272458022624</c:v>
                </c:pt>
                <c:pt idx="15">
                  <c:v>3744.0713053479012</c:v>
                </c:pt>
                <c:pt idx="16">
                  <c:v>2409.201277533346</c:v>
                </c:pt>
                <c:pt idx="17">
                  <c:v>3478.1609412414159</c:v>
                </c:pt>
                <c:pt idx="18">
                  <c:v>2738.2547104515224</c:v>
                </c:pt>
                <c:pt idx="19">
                  <c:v>1019.7244473776855</c:v>
                </c:pt>
              </c:numCache>
            </c:numRef>
          </c:val>
          <c:extLst xmlns:c16r2="http://schemas.microsoft.com/office/drawing/2015/06/chart">
            <c:ext xmlns:c16="http://schemas.microsoft.com/office/drawing/2014/chart" uri="{C3380CC4-5D6E-409C-BE32-E72D297353CC}">
              <c16:uniqueId val="{00000000-F7A4-43ED-B31E-449837DE29B5}"/>
            </c:ext>
          </c:extLst>
        </c:ser>
        <c:ser>
          <c:idx val="1"/>
          <c:order val="1"/>
          <c:tx>
            <c:strRef>
              <c:f>CostAllocationExample!$CI$101</c:f>
              <c:strCache>
                <c:ptCount val="1"/>
                <c:pt idx="0">
                  <c:v>South gen. &gt; de minimis</c:v>
                </c:pt>
              </c:strCache>
            </c:strRef>
          </c:tx>
          <c:spPr>
            <a:solidFill>
              <a:schemeClr val="accent2"/>
            </a:solidFill>
            <a:ln>
              <a:noFill/>
            </a:ln>
            <a:effectLst/>
          </c:spPr>
          <c:invertIfNegative val="0"/>
          <c:cat>
            <c:multiLvlStrRef>
              <c:f>CostAllocationExample!$CF$102:$CG$121</c:f>
              <c:multiLvlStrCache>
                <c:ptCount val="20"/>
                <c:lvl>
                  <c:pt idx="0">
                    <c:v>Island</c:v>
                  </c:pt>
                  <c:pt idx="1">
                    <c:v>National</c:v>
                  </c:pt>
                  <c:pt idx="2">
                    <c:v>Factored by sharing limit</c:v>
                  </c:pt>
                  <c:pt idx="3">
                    <c:v>Cost to island causer</c:v>
                  </c:pt>
                  <c:pt idx="4">
                    <c:v>Cost to DC then island</c:v>
                  </c:pt>
                  <c:pt idx="5">
                    <c:v>Island</c:v>
                  </c:pt>
                  <c:pt idx="6">
                    <c:v>National</c:v>
                  </c:pt>
                  <c:pt idx="7">
                    <c:v>Factored by sharing limit</c:v>
                  </c:pt>
                  <c:pt idx="8">
                    <c:v>Cost to island causer</c:v>
                  </c:pt>
                  <c:pt idx="9">
                    <c:v>Cost to DC then island</c:v>
                  </c:pt>
                  <c:pt idx="10">
                    <c:v>Island</c:v>
                  </c:pt>
                  <c:pt idx="11">
                    <c:v>National</c:v>
                  </c:pt>
                  <c:pt idx="12">
                    <c:v>Factored by sharing limit</c:v>
                  </c:pt>
                  <c:pt idx="13">
                    <c:v>Cost to island causer</c:v>
                  </c:pt>
                  <c:pt idx="14">
                    <c:v>Cost to DC then island</c:v>
                  </c:pt>
                  <c:pt idx="15">
                    <c:v>Island</c:v>
                  </c:pt>
                  <c:pt idx="16">
                    <c:v>National</c:v>
                  </c:pt>
                  <c:pt idx="17">
                    <c:v>Factored by sharing limit</c:v>
                  </c:pt>
                  <c:pt idx="18">
                    <c:v>Cost to island causer</c:v>
                  </c:pt>
                  <c:pt idx="19">
                    <c:v>Cost to DC then island</c:v>
                  </c:pt>
                </c:lvl>
                <c:lvl>
                  <c:pt idx="0">
                    <c:v>0 MW
[0 MW]</c:v>
                  </c:pt>
                  <c:pt idx="5">
                    <c:v>700 MW
[202 MW]</c:v>
                  </c:pt>
                  <c:pt idx="10">
                    <c:v>900 MW
[402 MW]</c:v>
                  </c:pt>
                  <c:pt idx="15">
                    <c:v>1000 MW
[502 MW]</c:v>
                  </c:pt>
                </c:lvl>
              </c:multiLvlStrCache>
            </c:multiLvlStrRef>
          </c:cat>
          <c:val>
            <c:numRef>
              <c:f>CostAllocationExample!$CI$102:$CI$121</c:f>
              <c:numCache>
                <c:formatCode>#,##0_ ;[Red]\-#,##0\ </c:formatCode>
                <c:ptCount val="20"/>
                <c:pt idx="0">
                  <c:v>220</c:v>
                </c:pt>
                <c:pt idx="1">
                  <c:v>403.01118648209433</c:v>
                </c:pt>
                <c:pt idx="2">
                  <c:v>320.6561525651519</c:v>
                </c:pt>
                <c:pt idx="3">
                  <c:v>24.340279579611639</c:v>
                </c:pt>
                <c:pt idx="4">
                  <c:v>24.340279579611639</c:v>
                </c:pt>
                <c:pt idx="5">
                  <c:v>198</c:v>
                </c:pt>
                <c:pt idx="6">
                  <c:v>425.47864816398015</c:v>
                </c:pt>
                <c:pt idx="7">
                  <c:v>323.11325649018909</c:v>
                </c:pt>
                <c:pt idx="8">
                  <c:v>23.403243947703146</c:v>
                </c:pt>
                <c:pt idx="9">
                  <c:v>24.651076827039855</c:v>
                </c:pt>
                <c:pt idx="10">
                  <c:v>0</c:v>
                </c:pt>
                <c:pt idx="11">
                  <c:v>767.3194736951848</c:v>
                </c:pt>
                <c:pt idx="12">
                  <c:v>381.75098193790291</c:v>
                </c:pt>
                <c:pt idx="13">
                  <c:v>232.86809898212078</c:v>
                </c:pt>
                <c:pt idx="14">
                  <c:v>0</c:v>
                </c:pt>
                <c:pt idx="15">
                  <c:v>0</c:v>
                </c:pt>
                <c:pt idx="16">
                  <c:v>767.31947369518502</c:v>
                </c:pt>
                <c:pt idx="17">
                  <c:v>152.85248479983764</c:v>
                </c:pt>
                <c:pt idx="18">
                  <c:v>186.48003145580194</c:v>
                </c:pt>
                <c:pt idx="19">
                  <c:v>0</c:v>
                </c:pt>
              </c:numCache>
            </c:numRef>
          </c:val>
          <c:extLst xmlns:c16r2="http://schemas.microsoft.com/office/drawing/2015/06/chart">
            <c:ext xmlns:c16="http://schemas.microsoft.com/office/drawing/2014/chart" uri="{C3380CC4-5D6E-409C-BE32-E72D297353CC}">
              <c16:uniqueId val="{00000001-F7A4-43ED-B31E-449837DE29B5}"/>
            </c:ext>
          </c:extLst>
        </c:ser>
        <c:ser>
          <c:idx val="2"/>
          <c:order val="2"/>
          <c:tx>
            <c:strRef>
              <c:f>CostAllocationExample!$CJ$101</c:f>
              <c:strCache>
                <c:ptCount val="1"/>
                <c:pt idx="0">
                  <c:v>HVDC</c:v>
                </c:pt>
              </c:strCache>
            </c:strRef>
          </c:tx>
          <c:spPr>
            <a:solidFill>
              <a:schemeClr val="accent3"/>
            </a:solidFill>
            <a:ln>
              <a:noFill/>
            </a:ln>
            <a:effectLst/>
          </c:spPr>
          <c:invertIfNegative val="0"/>
          <c:cat>
            <c:multiLvlStrRef>
              <c:f>CostAllocationExample!$CF$102:$CG$121</c:f>
              <c:multiLvlStrCache>
                <c:ptCount val="20"/>
                <c:lvl>
                  <c:pt idx="0">
                    <c:v>Island</c:v>
                  </c:pt>
                  <c:pt idx="1">
                    <c:v>National</c:v>
                  </c:pt>
                  <c:pt idx="2">
                    <c:v>Factored by sharing limit</c:v>
                  </c:pt>
                  <c:pt idx="3">
                    <c:v>Cost to island causer</c:v>
                  </c:pt>
                  <c:pt idx="4">
                    <c:v>Cost to DC then island</c:v>
                  </c:pt>
                  <c:pt idx="5">
                    <c:v>Island</c:v>
                  </c:pt>
                  <c:pt idx="6">
                    <c:v>National</c:v>
                  </c:pt>
                  <c:pt idx="7">
                    <c:v>Factored by sharing limit</c:v>
                  </c:pt>
                  <c:pt idx="8">
                    <c:v>Cost to island causer</c:v>
                  </c:pt>
                  <c:pt idx="9">
                    <c:v>Cost to DC then island</c:v>
                  </c:pt>
                  <c:pt idx="10">
                    <c:v>Island</c:v>
                  </c:pt>
                  <c:pt idx="11">
                    <c:v>National</c:v>
                  </c:pt>
                  <c:pt idx="12">
                    <c:v>Factored by sharing limit</c:v>
                  </c:pt>
                  <c:pt idx="13">
                    <c:v>Cost to island causer</c:v>
                  </c:pt>
                  <c:pt idx="14">
                    <c:v>Cost to DC then island</c:v>
                  </c:pt>
                  <c:pt idx="15">
                    <c:v>Island</c:v>
                  </c:pt>
                  <c:pt idx="16">
                    <c:v>National</c:v>
                  </c:pt>
                  <c:pt idx="17">
                    <c:v>Factored by sharing limit</c:v>
                  </c:pt>
                  <c:pt idx="18">
                    <c:v>Cost to island causer</c:v>
                  </c:pt>
                  <c:pt idx="19">
                    <c:v>Cost to DC then island</c:v>
                  </c:pt>
                </c:lvl>
                <c:lvl>
                  <c:pt idx="0">
                    <c:v>0 MW
[0 MW]</c:v>
                  </c:pt>
                  <c:pt idx="5">
                    <c:v>700 MW
[202 MW]</c:v>
                  </c:pt>
                  <c:pt idx="10">
                    <c:v>900 MW
[402 MW]</c:v>
                  </c:pt>
                  <c:pt idx="15">
                    <c:v>1000 MW
[502 MW]</c:v>
                  </c:pt>
                </c:lvl>
              </c:multiLvlStrCache>
            </c:multiLvlStrRef>
          </c:cat>
          <c:val>
            <c:numRef>
              <c:f>CostAllocationExample!$CJ$102:$CJ$121</c:f>
              <c:numCache>
                <c:formatCode>#,##0_ ;[Red]\-#,##0\ </c:formatCode>
                <c:ptCount val="20"/>
                <c:pt idx="0">
                  <c:v>0</c:v>
                </c:pt>
                <c:pt idx="1">
                  <c:v>0</c:v>
                </c:pt>
                <c:pt idx="2">
                  <c:v>0</c:v>
                </c:pt>
                <c:pt idx="3">
                  <c:v>0</c:v>
                </c:pt>
                <c:pt idx="4">
                  <c:v>0</c:v>
                </c:pt>
                <c:pt idx="5">
                  <c:v>199.33287004864488</c:v>
                </c:pt>
                <c:pt idx="6">
                  <c:v>112.27474344378041</c:v>
                </c:pt>
                <c:pt idx="7">
                  <c:v>151.45090041596941</c:v>
                </c:pt>
                <c:pt idx="8">
                  <c:v>137.45877419867125</c:v>
                </c:pt>
                <c:pt idx="9">
                  <c:v>332.74316927483517</c:v>
                </c:pt>
                <c:pt idx="10">
                  <c:v>838.82855399633922</c:v>
                </c:pt>
                <c:pt idx="11">
                  <c:v>843.47924877146988</c:v>
                </c:pt>
                <c:pt idx="12">
                  <c:v>841.14233249142922</c:v>
                </c:pt>
                <c:pt idx="13">
                  <c:v>982.07221552679448</c:v>
                </c:pt>
                <c:pt idx="14">
                  <c:v>2686.7727541977379</c:v>
                </c:pt>
                <c:pt idx="15">
                  <c:v>1275.928694652099</c:v>
                </c:pt>
                <c:pt idx="16">
                  <c:v>1843.4792487714694</c:v>
                </c:pt>
                <c:pt idx="17">
                  <c:v>1388.9865739587465</c:v>
                </c:pt>
                <c:pt idx="18">
                  <c:v>2095.2652580926756</c:v>
                </c:pt>
                <c:pt idx="19">
                  <c:v>4000.2755526223145</c:v>
                </c:pt>
              </c:numCache>
            </c:numRef>
          </c:val>
          <c:extLst xmlns:c16r2="http://schemas.microsoft.com/office/drawing/2015/06/chart">
            <c:ext xmlns:c16="http://schemas.microsoft.com/office/drawing/2014/chart" uri="{C3380CC4-5D6E-409C-BE32-E72D297353CC}">
              <c16:uniqueId val="{00000002-F7A4-43ED-B31E-449837DE29B5}"/>
            </c:ext>
          </c:extLst>
        </c:ser>
        <c:dLbls>
          <c:showLegendKey val="0"/>
          <c:showVal val="0"/>
          <c:showCatName val="0"/>
          <c:showSerName val="0"/>
          <c:showPercent val="0"/>
          <c:showBubbleSize val="0"/>
        </c:dLbls>
        <c:gapWidth val="150"/>
        <c:overlap val="100"/>
        <c:axId val="226956416"/>
        <c:axId val="226957952"/>
      </c:barChart>
      <c:catAx>
        <c:axId val="22695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endParaRPr lang="en-US"/>
          </a:p>
        </c:txPr>
        <c:crossAx val="226957952"/>
        <c:crosses val="autoZero"/>
        <c:auto val="1"/>
        <c:lblAlgn val="ctr"/>
        <c:lblOffset val="100"/>
        <c:noMultiLvlLbl val="0"/>
      </c:catAx>
      <c:valAx>
        <c:axId val="226957952"/>
        <c:scaling>
          <c:orientation val="minMax"/>
          <c:max val="6000"/>
          <c:min val="0"/>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NZ"/>
                  <a:t>Cost ($)</a:t>
                </a:r>
              </a:p>
            </c:rich>
          </c:tx>
          <c:layout>
            <c:manualLayout>
              <c:xMode val="edge"/>
              <c:yMode val="edge"/>
              <c:x val="2.7319177315950258E-3"/>
              <c:y val="0.2652721312555596"/>
            </c:manualLayout>
          </c:layout>
          <c:overlay val="0"/>
          <c:spPr>
            <a:noFill/>
            <a:ln>
              <a:noFill/>
            </a:ln>
            <a:effectLst/>
          </c:sp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6956416"/>
        <c:crosses val="autoZero"/>
        <c:crossBetween val="between"/>
      </c:valAx>
      <c:spPr>
        <a:noFill/>
        <a:ln>
          <a:noFill/>
        </a:ln>
        <a:effectLst/>
      </c:spPr>
    </c:plotArea>
    <c:legend>
      <c:legendPos val="r"/>
      <c:layout>
        <c:manualLayout>
          <c:xMode val="edge"/>
          <c:yMode val="edge"/>
          <c:x val="8.6285981670323988E-2"/>
          <c:y val="9.7955721016044529E-3"/>
          <c:w val="0.23068026332773978"/>
          <c:h val="0.1438053301379996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NZ"/>
              <a:t>IR procured (MW)</a:t>
            </a:r>
          </a:p>
        </c:rich>
      </c:tx>
      <c:layout>
        <c:manualLayout>
          <c:xMode val="edge"/>
          <c:yMode val="edge"/>
          <c:x val="0.57742042904179869"/>
          <c:y val="1.1615260429943071E-2"/>
        </c:manualLayout>
      </c:layout>
      <c:overlay val="0"/>
      <c:spPr>
        <a:noFill/>
        <a:ln>
          <a:noFill/>
        </a:ln>
        <a:effectLst/>
      </c:spPr>
    </c:title>
    <c:autoTitleDeleted val="0"/>
    <c:plotArea>
      <c:layout>
        <c:manualLayout>
          <c:layoutTarget val="inner"/>
          <c:xMode val="edge"/>
          <c:yMode val="edge"/>
          <c:x val="0.30871686144384042"/>
          <c:y val="2.4734684340215821E-2"/>
          <c:w val="0.68105524853438759"/>
          <c:h val="0.84841830231965332"/>
        </c:manualLayout>
      </c:layout>
      <c:barChart>
        <c:barDir val="col"/>
        <c:grouping val="stacked"/>
        <c:varyColors val="0"/>
        <c:ser>
          <c:idx val="0"/>
          <c:order val="0"/>
          <c:tx>
            <c:strRef>
              <c:f>CostAllocationExample!$AB$58</c:f>
              <c:strCache>
                <c:ptCount val="1"/>
                <c:pt idx="0">
                  <c:v>NI_IR 4 NI_Risk</c:v>
                </c:pt>
              </c:strCache>
            </c:strRef>
          </c:tx>
          <c:spPr>
            <a:solidFill>
              <a:schemeClr val="accent1"/>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CostAllocationExample!$AB$59:$AB$63</c:f>
              <c:numCache>
                <c:formatCode>#,##0_ ;[Red]\-#,##0\ </c:formatCode>
                <c:ptCount val="5"/>
                <c:pt idx="0">
                  <c:v>400</c:v>
                </c:pt>
                <c:pt idx="1">
                  <c:v>380</c:v>
                </c:pt>
                <c:pt idx="2">
                  <c:v>300</c:v>
                </c:pt>
                <c:pt idx="3">
                  <c:v>278</c:v>
                </c:pt>
                <c:pt idx="4">
                  <c:v>180</c:v>
                </c:pt>
              </c:numCache>
            </c:numRef>
          </c:val>
          <c:extLst xmlns:c16r2="http://schemas.microsoft.com/office/drawing/2015/06/chart">
            <c:ext xmlns:c16="http://schemas.microsoft.com/office/drawing/2014/chart" uri="{C3380CC4-5D6E-409C-BE32-E72D297353CC}">
              <c16:uniqueId val="{00000000-A793-41FD-96A6-DF7B74A89433}"/>
            </c:ext>
          </c:extLst>
        </c:ser>
        <c:ser>
          <c:idx val="1"/>
          <c:order val="1"/>
          <c:tx>
            <c:strRef>
              <c:f>CostAllocationExample!$AC$58</c:f>
              <c:strCache>
                <c:ptCount val="1"/>
                <c:pt idx="0">
                  <c:v>NI_IR 4 shared_risk</c:v>
                </c:pt>
              </c:strCache>
            </c:strRef>
          </c:tx>
          <c:spPr>
            <a:solidFill>
              <a:schemeClr val="tx2">
                <a:lumMod val="40000"/>
                <a:lumOff val="6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CostAllocationExample!$AC$59:$AC$63</c:f>
              <c:numCache>
                <c:formatCode>#,##0_ ;[Red]\-#,##0\ </c:formatCode>
                <c:ptCount val="5"/>
                <c:pt idx="0">
                  <c:v>0</c:v>
                </c:pt>
                <c:pt idx="1">
                  <c:v>10</c:v>
                </c:pt>
                <c:pt idx="2">
                  <c:v>50</c:v>
                </c:pt>
                <c:pt idx="3">
                  <c:v>22</c:v>
                </c:pt>
                <c:pt idx="4">
                  <c:v>0</c:v>
                </c:pt>
              </c:numCache>
            </c:numRef>
          </c:val>
          <c:extLst xmlns:c16r2="http://schemas.microsoft.com/office/drawing/2015/06/chart">
            <c:ext xmlns:c16="http://schemas.microsoft.com/office/drawing/2014/chart" uri="{C3380CC4-5D6E-409C-BE32-E72D297353CC}">
              <c16:uniqueId val="{00000001-A793-41FD-96A6-DF7B74A89433}"/>
            </c:ext>
          </c:extLst>
        </c:ser>
        <c:ser>
          <c:idx val="2"/>
          <c:order val="2"/>
          <c:tx>
            <c:strRef>
              <c:f>CostAllocationExample!$AD$58</c:f>
              <c:strCache>
                <c:ptCount val="1"/>
                <c:pt idx="0">
                  <c:v>NI_IR 4 SI_Risk</c:v>
                </c:pt>
              </c:strCache>
            </c:strRef>
          </c:tx>
          <c:spPr>
            <a:solidFill>
              <a:schemeClr val="accent1">
                <a:lumMod val="20000"/>
                <a:lumOff val="8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CostAllocationExample!$AD$59:$AD$63</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A793-41FD-96A6-DF7B74A89433}"/>
            </c:ext>
          </c:extLst>
        </c:ser>
        <c:ser>
          <c:idx val="3"/>
          <c:order val="3"/>
          <c:tx>
            <c:strRef>
              <c:f>CostAllocationExample!$AE$58</c:f>
              <c:strCache>
                <c:ptCount val="1"/>
                <c:pt idx="0">
                  <c:v>SI_IR 4 NI_Risk</c:v>
                </c:pt>
              </c:strCache>
            </c:strRef>
          </c:tx>
          <c:spPr>
            <a:solidFill>
              <a:schemeClr val="accent2">
                <a:lumMod val="20000"/>
                <a:lumOff val="8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CostAllocationExample!$AE$59:$AE$63</c:f>
              <c:numCache>
                <c:formatCode>#,##0_ ;[Red]\-#,##0\ </c:formatCode>
                <c:ptCount val="5"/>
                <c:pt idx="0">
                  <c:v>0</c:v>
                </c:pt>
                <c:pt idx="1">
                  <c:v>0</c:v>
                </c:pt>
                <c:pt idx="2">
                  <c:v>0</c:v>
                </c:pt>
                <c:pt idx="3">
                  <c:v>0</c:v>
                </c:pt>
                <c:pt idx="4">
                  <c:v>98</c:v>
                </c:pt>
              </c:numCache>
            </c:numRef>
          </c:val>
          <c:extLst xmlns:c16r2="http://schemas.microsoft.com/office/drawing/2015/06/chart">
            <c:ext xmlns:c16="http://schemas.microsoft.com/office/drawing/2014/chart" uri="{C3380CC4-5D6E-409C-BE32-E72D297353CC}">
              <c16:uniqueId val="{00000003-A793-41FD-96A6-DF7B74A89433}"/>
            </c:ext>
          </c:extLst>
        </c:ser>
        <c:ser>
          <c:idx val="4"/>
          <c:order val="4"/>
          <c:tx>
            <c:strRef>
              <c:f>CostAllocationExample!$AF$58</c:f>
              <c:strCache>
                <c:ptCount val="1"/>
                <c:pt idx="0">
                  <c:v>SI_IR 4 shared_risk</c:v>
                </c:pt>
              </c:strCache>
            </c:strRef>
          </c:tx>
          <c:spPr>
            <a:solidFill>
              <a:schemeClr val="accent2">
                <a:lumMod val="60000"/>
                <a:lumOff val="4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CostAllocationExample!$AF$59:$AF$63</c:f>
              <c:numCache>
                <c:formatCode>#,##0_ ;[Red]\-#,##0\ </c:formatCode>
                <c:ptCount val="5"/>
                <c:pt idx="0">
                  <c:v>0</c:v>
                </c:pt>
                <c:pt idx="1">
                  <c:v>10</c:v>
                </c:pt>
                <c:pt idx="2">
                  <c:v>50</c:v>
                </c:pt>
                <c:pt idx="3">
                  <c:v>100</c:v>
                </c:pt>
                <c:pt idx="4">
                  <c:v>122</c:v>
                </c:pt>
              </c:numCache>
            </c:numRef>
          </c:val>
          <c:extLst xmlns:c16r2="http://schemas.microsoft.com/office/drawing/2015/06/chart">
            <c:ext xmlns:c16="http://schemas.microsoft.com/office/drawing/2014/chart" uri="{C3380CC4-5D6E-409C-BE32-E72D297353CC}">
              <c16:uniqueId val="{00000004-A793-41FD-96A6-DF7B74A89433}"/>
            </c:ext>
          </c:extLst>
        </c:ser>
        <c:ser>
          <c:idx val="5"/>
          <c:order val="5"/>
          <c:tx>
            <c:strRef>
              <c:f>CostAllocationExample!$AG$58</c:f>
              <c:strCache>
                <c:ptCount val="1"/>
                <c:pt idx="0">
                  <c:v>SI_IR 4 SI_Risk</c:v>
                </c:pt>
              </c:strCache>
            </c:strRef>
          </c:tx>
          <c:spPr>
            <a:solidFill>
              <a:schemeClr val="accent2"/>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CostAllocationExample!$AG$59:$AG$63</c:f>
              <c:numCache>
                <c:formatCode>#,##0_ ;[Red]\-#,##0\ </c:formatCode>
                <c:ptCount val="5"/>
                <c:pt idx="0">
                  <c:v>122</c:v>
                </c:pt>
                <c:pt idx="1">
                  <c:v>102</c:v>
                </c:pt>
                <c:pt idx="2">
                  <c:v>22</c:v>
                </c:pt>
                <c:pt idx="3">
                  <c:v>0</c:v>
                </c:pt>
                <c:pt idx="4">
                  <c:v>0</c:v>
                </c:pt>
              </c:numCache>
            </c:numRef>
          </c:val>
          <c:extLst xmlns:c16r2="http://schemas.microsoft.com/office/drawing/2015/06/chart">
            <c:ext xmlns:c16="http://schemas.microsoft.com/office/drawing/2014/chart" uri="{C3380CC4-5D6E-409C-BE32-E72D297353CC}">
              <c16:uniqueId val="{00000005-A793-41FD-96A6-DF7B74A89433}"/>
            </c:ext>
          </c:extLst>
        </c:ser>
        <c:dLbls>
          <c:showLegendKey val="0"/>
          <c:showVal val="0"/>
          <c:showCatName val="0"/>
          <c:showSerName val="0"/>
          <c:showPercent val="0"/>
          <c:showBubbleSize val="0"/>
        </c:dLbls>
        <c:gapWidth val="150"/>
        <c:overlap val="100"/>
        <c:axId val="227099008"/>
        <c:axId val="227100928"/>
      </c:barChart>
      <c:catAx>
        <c:axId val="227099008"/>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NZ"/>
                  <a:t>IR Transfer capability of HVDC</a:t>
                </a:r>
              </a:p>
            </c:rich>
          </c:tx>
          <c:layout>
            <c:manualLayout>
              <c:xMode val="edge"/>
              <c:yMode val="edge"/>
              <c:x val="0.53383901725469574"/>
              <c:y val="0.937836480450196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7100928"/>
        <c:crosses val="autoZero"/>
        <c:auto val="1"/>
        <c:lblAlgn val="ctr"/>
        <c:lblOffset val="100"/>
        <c:noMultiLvlLbl val="0"/>
      </c:catAx>
      <c:valAx>
        <c:axId val="227100928"/>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7099008"/>
        <c:crosses val="autoZero"/>
        <c:crossBetween val="between"/>
      </c:valAx>
      <c:spPr>
        <a:noFill/>
        <a:ln>
          <a:noFill/>
        </a:ln>
        <a:effectLst/>
      </c:spPr>
    </c:plotArea>
    <c:legend>
      <c:legendPos val="l"/>
      <c:layout>
        <c:manualLayout>
          <c:xMode val="edge"/>
          <c:yMode val="edge"/>
          <c:x val="9.7816597474046831E-3"/>
          <c:y val="0.33015751433625057"/>
          <c:w val="0.215613326112192"/>
          <c:h val="0.5318986082230924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National allocation based on pro-rata</a:t>
            </a:r>
          </a:p>
        </c:rich>
      </c:tx>
      <c:overlay val="0"/>
      <c:spPr>
        <a:noFill/>
        <a:ln>
          <a:noFill/>
        </a:ln>
        <a:effectLst/>
      </c:spPr>
    </c:title>
    <c:autoTitleDeleted val="0"/>
    <c:plotArea>
      <c:layout>
        <c:manualLayout>
          <c:layoutTarget val="inner"/>
          <c:xMode val="edge"/>
          <c:yMode val="edge"/>
          <c:x val="3.0555555555555555E-2"/>
          <c:y val="1.4305555555555571E-2"/>
          <c:w val="0.93888888888888888"/>
          <c:h val="0.89310185185185187"/>
        </c:manualLayout>
      </c:layout>
      <c:barChart>
        <c:barDir val="col"/>
        <c:grouping val="stacked"/>
        <c:varyColors val="0"/>
        <c:ser>
          <c:idx val="0"/>
          <c:order val="0"/>
          <c:tx>
            <c:strRef>
              <c:f>CostAllocationExample!$BR$102</c:f>
              <c:strCache>
                <c:ptCount val="1"/>
                <c:pt idx="0">
                  <c:v>North 2 gen.</c:v>
                </c:pt>
              </c:strCache>
            </c:strRef>
          </c:tx>
          <c:spPr>
            <a:solidFill>
              <a:schemeClr val="accent1"/>
            </a:solidFill>
            <a:ln>
              <a:noFill/>
            </a:ln>
            <a:effectLst/>
          </c:spPr>
          <c:invertIfNegative val="0"/>
          <c:dLbls>
            <c:spPr>
              <a:noFill/>
              <a:ln>
                <a:noFill/>
              </a:ln>
              <a:effectLst/>
            </c:spPr>
            <c:txPr>
              <a:bodyPr rot="0" spcFirstLastPara="1" vertOverflow="ellipsis" vert="horz" wrap="non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CostAllocationExample!$BR$103</c:f>
              <c:numCache>
                <c:formatCode>0%</c:formatCode>
                <c:ptCount val="1"/>
                <c:pt idx="0">
                  <c:v>0.79761451621591573</c:v>
                </c:pt>
              </c:numCache>
            </c:numRef>
          </c:val>
          <c:extLst xmlns:c16r2="http://schemas.microsoft.com/office/drawing/2015/06/chart">
            <c:ext xmlns:c16="http://schemas.microsoft.com/office/drawing/2014/chart" uri="{C3380CC4-5D6E-409C-BE32-E72D297353CC}">
              <c16:uniqueId val="{00000000-F74E-4515-B08D-60869B4AA892}"/>
            </c:ext>
          </c:extLst>
        </c:ser>
        <c:ser>
          <c:idx val="1"/>
          <c:order val="1"/>
          <c:tx>
            <c:strRef>
              <c:f>CostAllocationExample!$BS$102</c:f>
              <c:strCache>
                <c:ptCount val="1"/>
                <c:pt idx="0">
                  <c:v>South via HVDC</c:v>
                </c:pt>
              </c:strCache>
            </c:strRef>
          </c:tx>
          <c:spPr>
            <a:solidFill>
              <a:schemeClr val="accent3"/>
            </a:solidFill>
            <a:ln>
              <a:noFill/>
            </a:ln>
            <a:effectLst/>
          </c:spPr>
          <c:invertIfNegative val="0"/>
          <c:dLbls>
            <c:spPr>
              <a:noFill/>
              <a:ln>
                <a:noFill/>
              </a:ln>
              <a:effectLst/>
            </c:spPr>
            <c:txPr>
              <a:bodyPr rot="0" spcFirstLastPara="1" vertOverflow="ellipsis" vert="horz" wrap="non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CostAllocationExample!$BS$103</c:f>
              <c:numCache>
                <c:formatCode>0%</c:formatCode>
                <c:ptCount val="1"/>
                <c:pt idx="0">
                  <c:v>8.3784848927162189E-3</c:v>
                </c:pt>
              </c:numCache>
            </c:numRef>
          </c:val>
          <c:extLst xmlns:c16r2="http://schemas.microsoft.com/office/drawing/2015/06/chart">
            <c:ext xmlns:c16="http://schemas.microsoft.com/office/drawing/2014/chart" uri="{C3380CC4-5D6E-409C-BE32-E72D297353CC}">
              <c16:uniqueId val="{00000001-F74E-4515-B08D-60869B4AA892}"/>
            </c:ext>
          </c:extLst>
        </c:ser>
        <c:ser>
          <c:idx val="2"/>
          <c:order val="2"/>
          <c:tx>
            <c:strRef>
              <c:f>CostAllocationExample!$BT$102</c:f>
              <c:strCache>
                <c:ptCount val="1"/>
                <c:pt idx="0">
                  <c:v>South 2 gen.</c:v>
                </c:pt>
              </c:strCache>
            </c:strRef>
          </c:tx>
          <c:spPr>
            <a:solidFill>
              <a:schemeClr val="accent2"/>
            </a:solidFill>
            <a:ln>
              <a:noFill/>
            </a:ln>
            <a:effectLst/>
          </c:spPr>
          <c:invertIfNegative val="0"/>
          <c:dLbls>
            <c:spPr>
              <a:noFill/>
              <a:ln>
                <a:noFill/>
              </a:ln>
              <a:effectLst/>
            </c:spPr>
            <c:txPr>
              <a:bodyPr rot="0" spcFirstLastPara="1" vertOverflow="clip" horzOverflow="clip" vert="horz" wrap="none" lIns="0" tIns="19050" rIns="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CostAllocationExample!$BT$103</c:f>
              <c:numCache>
                <c:formatCode>0%</c:formatCode>
                <c:ptCount val="1"/>
                <c:pt idx="0">
                  <c:v>0.19400699889136805</c:v>
                </c:pt>
              </c:numCache>
            </c:numRef>
          </c:val>
          <c:extLst xmlns:c16r2="http://schemas.microsoft.com/office/drawing/2015/06/chart">
            <c:ext xmlns:c16="http://schemas.microsoft.com/office/drawing/2014/chart" uri="{C3380CC4-5D6E-409C-BE32-E72D297353CC}">
              <c16:uniqueId val="{00000002-F74E-4515-B08D-60869B4AA892}"/>
            </c:ext>
          </c:extLst>
        </c:ser>
        <c:dLbls>
          <c:showLegendKey val="0"/>
          <c:showVal val="1"/>
          <c:showCatName val="0"/>
          <c:showSerName val="0"/>
          <c:showPercent val="0"/>
          <c:showBubbleSize val="0"/>
        </c:dLbls>
        <c:gapWidth val="35"/>
        <c:overlap val="100"/>
        <c:axId val="228598144"/>
        <c:axId val="228599680"/>
      </c:barChart>
      <c:catAx>
        <c:axId val="228598144"/>
        <c:scaling>
          <c:orientation val="minMax"/>
        </c:scaling>
        <c:delete val="1"/>
        <c:axPos val="b"/>
        <c:numFmt formatCode="General" sourceLinked="1"/>
        <c:majorTickMark val="none"/>
        <c:minorTickMark val="none"/>
        <c:tickLblPos val="nextTo"/>
        <c:crossAx val="228599680"/>
        <c:crosses val="autoZero"/>
        <c:auto val="1"/>
        <c:lblAlgn val="ctr"/>
        <c:lblOffset val="100"/>
        <c:noMultiLvlLbl val="0"/>
      </c:catAx>
      <c:valAx>
        <c:axId val="228599680"/>
        <c:scaling>
          <c:orientation val="minMax"/>
        </c:scaling>
        <c:delete val="1"/>
        <c:axPos val="l"/>
        <c:numFmt formatCode="0%" sourceLinked="1"/>
        <c:majorTickMark val="none"/>
        <c:minorTickMark val="none"/>
        <c:tickLblPos val="nextTo"/>
        <c:crossAx val="228598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NZ"/>
              <a:t>IR cost ($)</a:t>
            </a:r>
          </a:p>
        </c:rich>
      </c:tx>
      <c:layout>
        <c:manualLayout>
          <c:xMode val="edge"/>
          <c:yMode val="edge"/>
          <c:x val="0.57908710774027328"/>
          <c:y val="3.3197390007092792E-2"/>
        </c:manualLayout>
      </c:layout>
      <c:overlay val="0"/>
      <c:spPr>
        <a:noFill/>
        <a:ln>
          <a:noFill/>
        </a:ln>
        <a:effectLst/>
      </c:spPr>
    </c:title>
    <c:autoTitleDeleted val="0"/>
    <c:plotArea>
      <c:layout>
        <c:manualLayout>
          <c:layoutTarget val="inner"/>
          <c:xMode val="edge"/>
          <c:yMode val="edge"/>
          <c:x val="0.3087168837223811"/>
          <c:y val="2.3052303307907068E-2"/>
          <c:w val="0.68105524853438759"/>
          <c:h val="0.86235573590698789"/>
        </c:manualLayout>
      </c:layout>
      <c:barChart>
        <c:barDir val="col"/>
        <c:grouping val="stacked"/>
        <c:varyColors val="0"/>
        <c:ser>
          <c:idx val="0"/>
          <c:order val="0"/>
          <c:tx>
            <c:strRef>
              <c:f>CostAllocationExample!$AV$58</c:f>
              <c:strCache>
                <c:ptCount val="1"/>
                <c:pt idx="0">
                  <c:v>NI_IR 4 NI_Risk</c:v>
                </c:pt>
              </c:strCache>
            </c:strRef>
          </c:tx>
          <c:spPr>
            <a:solidFill>
              <a:schemeClr val="accent1"/>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CostAllocationExample!$AV$59:$AV$63</c:f>
              <c:numCache>
                <c:formatCode>#,##0_ ;[Red]\-#,##0\ </c:formatCode>
                <c:ptCount val="5"/>
                <c:pt idx="0">
                  <c:v>4000</c:v>
                </c:pt>
                <c:pt idx="1">
                  <c:v>3800</c:v>
                </c:pt>
                <c:pt idx="2">
                  <c:v>3000</c:v>
                </c:pt>
                <c:pt idx="3">
                  <c:v>2780</c:v>
                </c:pt>
                <c:pt idx="4">
                  <c:v>1800</c:v>
                </c:pt>
              </c:numCache>
            </c:numRef>
          </c:val>
          <c:extLst xmlns:c16r2="http://schemas.microsoft.com/office/drawing/2015/06/chart">
            <c:ext xmlns:c16="http://schemas.microsoft.com/office/drawing/2014/chart" uri="{C3380CC4-5D6E-409C-BE32-E72D297353CC}">
              <c16:uniqueId val="{00000000-557E-425C-BB78-040472C65CA9}"/>
            </c:ext>
          </c:extLst>
        </c:ser>
        <c:ser>
          <c:idx val="1"/>
          <c:order val="1"/>
          <c:tx>
            <c:strRef>
              <c:f>CostAllocationExample!$AW$58</c:f>
              <c:strCache>
                <c:ptCount val="1"/>
                <c:pt idx="0">
                  <c:v>NI_IR 4 shared_risk</c:v>
                </c:pt>
              </c:strCache>
            </c:strRef>
          </c:tx>
          <c:spPr>
            <a:solidFill>
              <a:schemeClr val="tx2">
                <a:lumMod val="40000"/>
                <a:lumOff val="6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CostAllocationExample!$AW$59:$AW$63</c:f>
              <c:numCache>
                <c:formatCode>#,##0_ ;[Red]\-#,##0\ </c:formatCode>
                <c:ptCount val="5"/>
                <c:pt idx="0">
                  <c:v>0</c:v>
                </c:pt>
                <c:pt idx="1">
                  <c:v>100</c:v>
                </c:pt>
                <c:pt idx="2">
                  <c:v>500</c:v>
                </c:pt>
                <c:pt idx="3">
                  <c:v>220</c:v>
                </c:pt>
                <c:pt idx="4">
                  <c:v>0</c:v>
                </c:pt>
              </c:numCache>
            </c:numRef>
          </c:val>
          <c:extLst xmlns:c16r2="http://schemas.microsoft.com/office/drawing/2015/06/chart">
            <c:ext xmlns:c16="http://schemas.microsoft.com/office/drawing/2014/chart" uri="{C3380CC4-5D6E-409C-BE32-E72D297353CC}">
              <c16:uniqueId val="{00000001-557E-425C-BB78-040472C65CA9}"/>
            </c:ext>
          </c:extLst>
        </c:ser>
        <c:ser>
          <c:idx val="2"/>
          <c:order val="2"/>
          <c:tx>
            <c:strRef>
              <c:f>CostAllocationExample!$AX$58</c:f>
              <c:strCache>
                <c:ptCount val="1"/>
                <c:pt idx="0">
                  <c:v>NI_IR 4 SI_Risk</c:v>
                </c:pt>
              </c:strCache>
            </c:strRef>
          </c:tx>
          <c:spPr>
            <a:solidFill>
              <a:schemeClr val="accent1">
                <a:lumMod val="20000"/>
                <a:lumOff val="8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CostAllocationExample!$AX$59:$AX$63</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557E-425C-BB78-040472C65CA9}"/>
            </c:ext>
          </c:extLst>
        </c:ser>
        <c:ser>
          <c:idx val="3"/>
          <c:order val="3"/>
          <c:tx>
            <c:strRef>
              <c:f>CostAllocationExample!$AY$58</c:f>
              <c:strCache>
                <c:ptCount val="1"/>
                <c:pt idx="0">
                  <c:v>SI_IR 4 NI_Risk</c:v>
                </c:pt>
              </c:strCache>
            </c:strRef>
          </c:tx>
          <c:spPr>
            <a:solidFill>
              <a:schemeClr val="accent2">
                <a:lumMod val="20000"/>
                <a:lumOff val="8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CostAllocationExample!$AY$59:$AY$63</c:f>
              <c:numCache>
                <c:formatCode>#,##0_ ;[Red]\-#,##0\ </c:formatCode>
                <c:ptCount val="5"/>
                <c:pt idx="0">
                  <c:v>0</c:v>
                </c:pt>
                <c:pt idx="1">
                  <c:v>0</c:v>
                </c:pt>
                <c:pt idx="2">
                  <c:v>0</c:v>
                </c:pt>
                <c:pt idx="3">
                  <c:v>0</c:v>
                </c:pt>
                <c:pt idx="4">
                  <c:v>98</c:v>
                </c:pt>
              </c:numCache>
            </c:numRef>
          </c:val>
          <c:extLst xmlns:c16r2="http://schemas.microsoft.com/office/drawing/2015/06/chart">
            <c:ext xmlns:c16="http://schemas.microsoft.com/office/drawing/2014/chart" uri="{C3380CC4-5D6E-409C-BE32-E72D297353CC}">
              <c16:uniqueId val="{00000003-557E-425C-BB78-040472C65CA9}"/>
            </c:ext>
          </c:extLst>
        </c:ser>
        <c:ser>
          <c:idx val="4"/>
          <c:order val="4"/>
          <c:tx>
            <c:strRef>
              <c:f>CostAllocationExample!$AZ$58</c:f>
              <c:strCache>
                <c:ptCount val="1"/>
                <c:pt idx="0">
                  <c:v>SI_IR 4 shared_risk</c:v>
                </c:pt>
              </c:strCache>
            </c:strRef>
          </c:tx>
          <c:spPr>
            <a:solidFill>
              <a:schemeClr val="accent2">
                <a:lumMod val="60000"/>
                <a:lumOff val="40000"/>
              </a:schemeClr>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CostAllocationExample!$AZ$59:$AZ$63</c:f>
              <c:numCache>
                <c:formatCode>#,##0_ ;[Red]\-#,##0\ </c:formatCode>
                <c:ptCount val="5"/>
                <c:pt idx="0">
                  <c:v>0</c:v>
                </c:pt>
                <c:pt idx="1">
                  <c:v>10</c:v>
                </c:pt>
                <c:pt idx="2">
                  <c:v>50</c:v>
                </c:pt>
                <c:pt idx="3">
                  <c:v>100</c:v>
                </c:pt>
                <c:pt idx="4">
                  <c:v>122</c:v>
                </c:pt>
              </c:numCache>
            </c:numRef>
          </c:val>
          <c:extLst xmlns:c16r2="http://schemas.microsoft.com/office/drawing/2015/06/chart">
            <c:ext xmlns:c16="http://schemas.microsoft.com/office/drawing/2014/chart" uri="{C3380CC4-5D6E-409C-BE32-E72D297353CC}">
              <c16:uniqueId val="{00000004-557E-425C-BB78-040472C65CA9}"/>
            </c:ext>
          </c:extLst>
        </c:ser>
        <c:ser>
          <c:idx val="5"/>
          <c:order val="5"/>
          <c:tx>
            <c:strRef>
              <c:f>CostAllocationExample!$BA$58</c:f>
              <c:strCache>
                <c:ptCount val="1"/>
                <c:pt idx="0">
                  <c:v>SI_IR 4 SI_Risk</c:v>
                </c:pt>
              </c:strCache>
            </c:strRef>
          </c:tx>
          <c:spPr>
            <a:solidFill>
              <a:schemeClr val="accent2"/>
            </a:solidFill>
            <a:ln>
              <a:noFill/>
            </a:ln>
            <a:effectLst/>
          </c:spPr>
          <c:invertIfNegative val="0"/>
          <c:cat>
            <c:strRef>
              <c:f>CostAllocationExample!$AA$59:$AA$63</c:f>
              <c:strCache>
                <c:ptCount val="5"/>
                <c:pt idx="0">
                  <c:v>0 MW</c:v>
                </c:pt>
                <c:pt idx="1">
                  <c:v>10 MW</c:v>
                </c:pt>
                <c:pt idx="2">
                  <c:v>50 MW</c:v>
                </c:pt>
                <c:pt idx="3">
                  <c:v>100 MW</c:v>
                </c:pt>
                <c:pt idx="4">
                  <c:v>220 MW</c:v>
                </c:pt>
              </c:strCache>
            </c:strRef>
          </c:cat>
          <c:val>
            <c:numRef>
              <c:f>CostAllocationExample!$BA$59:$BA$63</c:f>
              <c:numCache>
                <c:formatCode>#,##0_ ;[Red]\-#,##0\ </c:formatCode>
                <c:ptCount val="5"/>
                <c:pt idx="0">
                  <c:v>122</c:v>
                </c:pt>
                <c:pt idx="1">
                  <c:v>102</c:v>
                </c:pt>
                <c:pt idx="2">
                  <c:v>22</c:v>
                </c:pt>
                <c:pt idx="3">
                  <c:v>0</c:v>
                </c:pt>
                <c:pt idx="4">
                  <c:v>0</c:v>
                </c:pt>
              </c:numCache>
            </c:numRef>
          </c:val>
          <c:extLst xmlns:c16r2="http://schemas.microsoft.com/office/drawing/2015/06/chart">
            <c:ext xmlns:c16="http://schemas.microsoft.com/office/drawing/2014/chart" uri="{C3380CC4-5D6E-409C-BE32-E72D297353CC}">
              <c16:uniqueId val="{00000005-557E-425C-BB78-040472C65CA9}"/>
            </c:ext>
          </c:extLst>
        </c:ser>
        <c:dLbls>
          <c:showLegendKey val="0"/>
          <c:showVal val="0"/>
          <c:showCatName val="0"/>
          <c:showSerName val="0"/>
          <c:showPercent val="0"/>
          <c:showBubbleSize val="0"/>
        </c:dLbls>
        <c:gapWidth val="150"/>
        <c:overlap val="100"/>
        <c:axId val="228465280"/>
        <c:axId val="228475648"/>
      </c:barChart>
      <c:catAx>
        <c:axId val="228465280"/>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NZ"/>
                  <a:t>IR Transfer capability of HVDC</a:t>
                </a:r>
              </a:p>
            </c:rich>
          </c:tx>
          <c:layout>
            <c:manualLayout>
              <c:xMode val="edge"/>
              <c:yMode val="edge"/>
              <c:x val="0.53383901725469574"/>
              <c:y val="0.937836480450196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8475648"/>
        <c:crosses val="autoZero"/>
        <c:auto val="1"/>
        <c:lblAlgn val="ctr"/>
        <c:lblOffset val="100"/>
        <c:noMultiLvlLbl val="0"/>
      </c:catAx>
      <c:valAx>
        <c:axId val="228475648"/>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8465280"/>
        <c:crosses val="autoZero"/>
        <c:crossBetween val="between"/>
      </c:valAx>
      <c:spPr>
        <a:noFill/>
        <a:ln>
          <a:noFill/>
        </a:ln>
        <a:effectLst/>
      </c:spPr>
    </c:plotArea>
    <c:legend>
      <c:legendPos val="l"/>
      <c:layout>
        <c:manualLayout>
          <c:xMode val="edge"/>
          <c:yMode val="edge"/>
          <c:x val="9.7816597474046831E-3"/>
          <c:y val="0.33015751433625057"/>
          <c:w val="0.215613326112192"/>
          <c:h val="0.5318986082230924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NZ"/>
              <a:t>IR procured (MW)</a:t>
            </a:r>
          </a:p>
        </c:rich>
      </c:tx>
      <c:layout>
        <c:manualLayout>
          <c:xMode val="edge"/>
          <c:yMode val="edge"/>
          <c:x val="0.56907892014452899"/>
          <c:y val="2.7801858229641055E-2"/>
        </c:manualLayout>
      </c:layout>
      <c:overlay val="0"/>
      <c:spPr>
        <a:noFill/>
        <a:ln>
          <a:noFill/>
        </a:ln>
        <a:effectLst/>
      </c:spPr>
    </c:title>
    <c:autoTitleDeleted val="0"/>
    <c:plotArea>
      <c:layout>
        <c:manualLayout>
          <c:layoutTarget val="inner"/>
          <c:xMode val="edge"/>
          <c:yMode val="edge"/>
          <c:x val="0.3087168837223811"/>
          <c:y val="2.3052303307907068E-2"/>
          <c:w val="0.68105524853438759"/>
          <c:h val="0.76793392980158259"/>
        </c:manualLayout>
      </c:layout>
      <c:barChart>
        <c:barDir val="col"/>
        <c:grouping val="stacked"/>
        <c:varyColors val="0"/>
        <c:ser>
          <c:idx val="0"/>
          <c:order val="0"/>
          <c:tx>
            <c:strRef>
              <c:f>CostAllocationExample!$AB$66</c:f>
              <c:strCache>
                <c:ptCount val="1"/>
                <c:pt idx="0">
                  <c:v>NI_IR 4 NI_Risk</c:v>
                </c:pt>
              </c:strCache>
            </c:strRef>
          </c:tx>
          <c:spPr>
            <a:solidFill>
              <a:schemeClr val="accent1"/>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CostAllocationExample!$AB$67:$AB$71</c:f>
              <c:numCache>
                <c:formatCode>#,##0_ ;[Red]\-#,##0\ </c:formatCode>
                <c:ptCount val="5"/>
                <c:pt idx="0">
                  <c:v>180</c:v>
                </c:pt>
                <c:pt idx="1">
                  <c:v>202</c:v>
                </c:pt>
                <c:pt idx="2">
                  <c:v>278</c:v>
                </c:pt>
                <c:pt idx="3">
                  <c:v>280</c:v>
                </c:pt>
                <c:pt idx="4">
                  <c:v>380</c:v>
                </c:pt>
              </c:numCache>
            </c:numRef>
          </c:val>
          <c:extLst xmlns:c16r2="http://schemas.microsoft.com/office/drawing/2015/06/chart">
            <c:ext xmlns:c16="http://schemas.microsoft.com/office/drawing/2014/chart" uri="{C3380CC4-5D6E-409C-BE32-E72D297353CC}">
              <c16:uniqueId val="{00000000-EB0D-4845-A7F0-EF96283C4AA5}"/>
            </c:ext>
          </c:extLst>
        </c:ser>
        <c:ser>
          <c:idx val="1"/>
          <c:order val="1"/>
          <c:tx>
            <c:strRef>
              <c:f>CostAllocationExample!$AC$66</c:f>
              <c:strCache>
                <c:ptCount val="1"/>
                <c:pt idx="0">
                  <c:v>NI_IR 4 shared_risk</c:v>
                </c:pt>
              </c:strCache>
            </c:strRef>
          </c:tx>
          <c:spPr>
            <a:solidFill>
              <a:schemeClr val="tx2">
                <a:lumMod val="40000"/>
                <a:lumOff val="6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CostAllocationExample!$AC$67:$AC$71</c:f>
              <c:numCache>
                <c:formatCode>#,##0_ ;[Red]\-#,##0\ </c:formatCode>
                <c:ptCount val="5"/>
                <c:pt idx="0">
                  <c:v>0</c:v>
                </c:pt>
                <c:pt idx="1">
                  <c:v>0</c:v>
                </c:pt>
                <c:pt idx="2">
                  <c:v>24</c:v>
                </c:pt>
                <c:pt idx="3">
                  <c:v>122</c:v>
                </c:pt>
                <c:pt idx="4">
                  <c:v>122</c:v>
                </c:pt>
              </c:numCache>
            </c:numRef>
          </c:val>
          <c:extLst xmlns:c16r2="http://schemas.microsoft.com/office/drawing/2015/06/chart">
            <c:ext xmlns:c16="http://schemas.microsoft.com/office/drawing/2014/chart" uri="{C3380CC4-5D6E-409C-BE32-E72D297353CC}">
              <c16:uniqueId val="{00000001-EB0D-4845-A7F0-EF96283C4AA5}"/>
            </c:ext>
          </c:extLst>
        </c:ser>
        <c:ser>
          <c:idx val="2"/>
          <c:order val="2"/>
          <c:tx>
            <c:strRef>
              <c:f>CostAllocationExample!$AD$66</c:f>
              <c:strCache>
                <c:ptCount val="1"/>
                <c:pt idx="0">
                  <c:v>NI_IR 4 SI_Risk</c:v>
                </c:pt>
              </c:strCache>
            </c:strRef>
          </c:tx>
          <c:spPr>
            <a:solidFill>
              <a:schemeClr val="accent1">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CostAllocationExample!$AD$67:$AD$71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EB0D-4845-A7F0-EF96283C4AA5}"/>
            </c:ext>
          </c:extLst>
        </c:ser>
        <c:ser>
          <c:idx val="3"/>
          <c:order val="3"/>
          <c:tx>
            <c:strRef>
              <c:f>CostAllocationExample!$AE$66</c:f>
              <c:strCache>
                <c:ptCount val="1"/>
                <c:pt idx="0">
                  <c:v>SI_IR 4 NI_Risk</c:v>
                </c:pt>
              </c:strCache>
            </c:strRef>
          </c:tx>
          <c:spPr>
            <a:solidFill>
              <a:schemeClr val="accent2">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CostAllocationExample!$AE$67:$AE$71</c:f>
              <c:numCache>
                <c:formatCode>#,##0_ ;[Red]\-#,##0\ </c:formatCode>
                <c:ptCount val="5"/>
                <c:pt idx="0">
                  <c:v>98</c:v>
                </c:pt>
                <c:pt idx="1">
                  <c:v>76</c:v>
                </c:pt>
                <c:pt idx="2">
                  <c:v>0</c:v>
                </c:pt>
                <c:pt idx="3">
                  <c:v>0</c:v>
                </c:pt>
                <c:pt idx="4">
                  <c:v>0</c:v>
                </c:pt>
              </c:numCache>
            </c:numRef>
          </c:val>
          <c:extLst xmlns:c16r2="http://schemas.microsoft.com/office/drawing/2015/06/chart">
            <c:ext xmlns:c16="http://schemas.microsoft.com/office/drawing/2014/chart" uri="{C3380CC4-5D6E-409C-BE32-E72D297353CC}">
              <c16:uniqueId val="{00000003-EB0D-4845-A7F0-EF96283C4AA5}"/>
            </c:ext>
          </c:extLst>
        </c:ser>
        <c:ser>
          <c:idx val="4"/>
          <c:order val="4"/>
          <c:tx>
            <c:strRef>
              <c:f>CostAllocationExample!$AF$66</c:f>
              <c:strCache>
                <c:ptCount val="1"/>
                <c:pt idx="0">
                  <c:v>SI_IR 4 shared_risk</c:v>
                </c:pt>
              </c:strCache>
            </c:strRef>
          </c:tx>
          <c:spPr>
            <a:solidFill>
              <a:schemeClr val="accent2">
                <a:lumMod val="60000"/>
                <a:lumOff val="4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CostAllocationExample!$AF$67:$AF$71</c:f>
              <c:numCache>
                <c:formatCode>#,##0_ ;[Red]\-#,##0\ </c:formatCode>
                <c:ptCount val="5"/>
                <c:pt idx="0">
                  <c:v>122</c:v>
                </c:pt>
                <c:pt idx="1">
                  <c:v>122</c:v>
                </c:pt>
                <c:pt idx="2">
                  <c:v>98</c:v>
                </c:pt>
                <c:pt idx="3">
                  <c:v>0</c:v>
                </c:pt>
                <c:pt idx="4">
                  <c:v>0</c:v>
                </c:pt>
              </c:numCache>
            </c:numRef>
          </c:val>
          <c:extLst xmlns:c16r2="http://schemas.microsoft.com/office/drawing/2015/06/chart">
            <c:ext xmlns:c16="http://schemas.microsoft.com/office/drawing/2014/chart" uri="{C3380CC4-5D6E-409C-BE32-E72D297353CC}">
              <c16:uniqueId val="{00000004-EB0D-4845-A7F0-EF96283C4AA5}"/>
            </c:ext>
          </c:extLst>
        </c:ser>
        <c:ser>
          <c:idx val="5"/>
          <c:order val="5"/>
          <c:tx>
            <c:strRef>
              <c:f>CostAllocationExample!$AG$66</c:f>
              <c:strCache>
                <c:ptCount val="1"/>
                <c:pt idx="0">
                  <c:v>SI_IR 4 SI_Risk</c:v>
                </c:pt>
              </c:strCache>
            </c:strRef>
          </c:tx>
          <c:spPr>
            <a:solidFill>
              <a:schemeClr val="accent2"/>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CostAllocationExample!$AG$67:$AG$71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EB0D-4845-A7F0-EF96283C4AA5}"/>
            </c:ext>
          </c:extLst>
        </c:ser>
        <c:dLbls>
          <c:showLegendKey val="0"/>
          <c:showVal val="0"/>
          <c:showCatName val="0"/>
          <c:showSerName val="0"/>
          <c:showPercent val="0"/>
          <c:showBubbleSize val="0"/>
        </c:dLbls>
        <c:gapWidth val="150"/>
        <c:overlap val="100"/>
        <c:axId val="228658176"/>
        <c:axId val="228672640"/>
      </c:barChart>
      <c:catAx>
        <c:axId val="22865817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r>
                  <a:rPr lang="en-NZ">
                    <a:solidFill>
                      <a:schemeClr val="accent6">
                        <a:lumMod val="50000"/>
                      </a:schemeClr>
                    </a:solidFill>
                  </a:rPr>
                  <a:t>Energy transfer</a:t>
                </a:r>
                <a:r>
                  <a:rPr lang="en-NZ" baseline="0">
                    <a:solidFill>
                      <a:schemeClr val="accent6">
                        <a:lumMod val="50000"/>
                      </a:schemeClr>
                    </a:solidFill>
                  </a:rPr>
                  <a:t> across  HVDC</a:t>
                </a:r>
              </a:p>
              <a:p>
                <a:pPr>
                  <a:defRPr sz="1400" b="0" i="0" u="none" strike="noStrike" kern="1200" baseline="0">
                    <a:solidFill>
                      <a:schemeClr val="accent6">
                        <a:lumMod val="50000"/>
                      </a:schemeClr>
                    </a:solidFill>
                    <a:latin typeface="+mn-lt"/>
                    <a:ea typeface="+mn-ea"/>
                    <a:cs typeface="+mn-cs"/>
                  </a:defRPr>
                </a:pPr>
                <a:r>
                  <a:rPr lang="en-NZ" baseline="0">
                    <a:solidFill>
                      <a:schemeClr val="accent6">
                        <a:lumMod val="50000"/>
                      </a:schemeClr>
                    </a:solidFill>
                  </a:rPr>
                  <a:t>[NI DC CE risk]</a:t>
                </a:r>
                <a:endParaRPr lang="en-NZ">
                  <a:solidFill>
                    <a:schemeClr val="accent6">
                      <a:lumMod val="50000"/>
                    </a:schemeClr>
                  </a:solidFill>
                </a:endParaRPr>
              </a:p>
            </c:rich>
          </c:tx>
          <c:layout>
            <c:manualLayout>
              <c:xMode val="edge"/>
              <c:yMode val="edge"/>
              <c:x val="0.53383901725469574"/>
              <c:y val="0.937836480450196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endParaRPr lang="en-US"/>
          </a:p>
        </c:txPr>
        <c:crossAx val="228672640"/>
        <c:crosses val="autoZero"/>
        <c:auto val="1"/>
        <c:lblAlgn val="ctr"/>
        <c:lblOffset val="100"/>
        <c:noMultiLvlLbl val="0"/>
      </c:catAx>
      <c:valAx>
        <c:axId val="228672640"/>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8658176"/>
        <c:crosses val="autoZero"/>
        <c:crossBetween val="between"/>
      </c:valAx>
      <c:spPr>
        <a:noFill/>
        <a:ln>
          <a:noFill/>
        </a:ln>
        <a:effectLst/>
      </c:spPr>
    </c:plotArea>
    <c:legend>
      <c:legendPos val="l"/>
      <c:layout>
        <c:manualLayout>
          <c:xMode val="edge"/>
          <c:yMode val="edge"/>
          <c:x val="9.7816597474046831E-3"/>
          <c:y val="0.33015751433625057"/>
          <c:w val="0.215613326112192"/>
          <c:h val="0.5318986082230924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NZ"/>
              <a:t>IR procured (MW)</a:t>
            </a:r>
          </a:p>
        </c:rich>
      </c:tx>
      <c:layout>
        <c:manualLayout>
          <c:xMode val="edge"/>
          <c:yMode val="edge"/>
          <c:x val="0.56741057089728941"/>
          <c:y val="2.7801852323901775E-2"/>
        </c:manualLayout>
      </c:layout>
      <c:overlay val="0"/>
      <c:spPr>
        <a:noFill/>
        <a:ln>
          <a:noFill/>
        </a:ln>
        <a:effectLst/>
      </c:spPr>
    </c:title>
    <c:autoTitleDeleted val="0"/>
    <c:plotArea>
      <c:layout>
        <c:manualLayout>
          <c:layoutTarget val="inner"/>
          <c:xMode val="edge"/>
          <c:yMode val="edge"/>
          <c:x val="0.3087168837223811"/>
          <c:y val="2.3052298411079957E-2"/>
          <c:w val="0.68105524853438759"/>
          <c:h val="0.7652362137819696"/>
        </c:manualLayout>
      </c:layout>
      <c:barChart>
        <c:barDir val="col"/>
        <c:grouping val="stacked"/>
        <c:varyColors val="0"/>
        <c:ser>
          <c:idx val="0"/>
          <c:order val="0"/>
          <c:tx>
            <c:strRef>
              <c:f>CostAllocationExample!$AL$66</c:f>
              <c:strCache>
                <c:ptCount val="1"/>
                <c:pt idx="0">
                  <c:v>NI_IR_4_NI_CE</c:v>
                </c:pt>
              </c:strCache>
            </c:strRef>
          </c:tx>
          <c:spPr>
            <a:solidFill>
              <a:schemeClr val="accent1"/>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CostAllocationExample!$AL$67:$AL$71</c:f>
              <c:numCache>
                <c:formatCode>#,##0_ ;[Red]\-#,##0\ </c:formatCode>
                <c:ptCount val="5"/>
                <c:pt idx="0">
                  <c:v>180</c:v>
                </c:pt>
                <c:pt idx="1">
                  <c:v>180</c:v>
                </c:pt>
                <c:pt idx="2">
                  <c:v>180</c:v>
                </c:pt>
                <c:pt idx="3">
                  <c:v>180</c:v>
                </c:pt>
                <c:pt idx="4">
                  <c:v>180</c:v>
                </c:pt>
              </c:numCache>
            </c:numRef>
          </c:val>
          <c:extLst xmlns:c16r2="http://schemas.microsoft.com/office/drawing/2015/06/chart">
            <c:ext xmlns:c16="http://schemas.microsoft.com/office/drawing/2014/chart" uri="{C3380CC4-5D6E-409C-BE32-E72D297353CC}">
              <c16:uniqueId val="{00000000-59DA-4ED6-BEA0-A42499C3316A}"/>
            </c:ext>
          </c:extLst>
        </c:ser>
        <c:ser>
          <c:idx val="6"/>
          <c:order val="1"/>
          <c:tx>
            <c:strRef>
              <c:f>CostAllocationExample!$AR$66</c:f>
              <c:strCache>
                <c:ptCount val="1"/>
                <c:pt idx="0">
                  <c:v>NI_IR_4_NI_DC_CE</c:v>
                </c:pt>
              </c:strCache>
            </c:strRef>
          </c:tx>
          <c:spPr>
            <a:solidFill>
              <a:schemeClr val="accent3"/>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CostAllocationExample!$AR$67:$AR$71</c:f>
              <c:numCache>
                <c:formatCode>#,##0_ ;[Red]\-#,##0\ </c:formatCode>
                <c:ptCount val="5"/>
                <c:pt idx="0">
                  <c:v>0</c:v>
                </c:pt>
                <c:pt idx="1">
                  <c:v>22</c:v>
                </c:pt>
                <c:pt idx="2">
                  <c:v>122</c:v>
                </c:pt>
                <c:pt idx="3">
                  <c:v>222</c:v>
                </c:pt>
                <c:pt idx="4">
                  <c:v>322</c:v>
                </c:pt>
              </c:numCache>
            </c:numRef>
          </c:val>
          <c:extLst xmlns:c16r2="http://schemas.microsoft.com/office/drawing/2015/06/chart">
            <c:ext xmlns:c16="http://schemas.microsoft.com/office/drawing/2014/chart" uri="{C3380CC4-5D6E-409C-BE32-E72D297353CC}">
              <c16:uniqueId val="{00000006-59DA-4ED6-BEA0-A42499C3316A}"/>
            </c:ext>
          </c:extLst>
        </c:ser>
        <c:ser>
          <c:idx val="1"/>
          <c:order val="2"/>
          <c:tx>
            <c:strRef>
              <c:f>CostAllocationExample!$AM$66</c:f>
              <c:strCache>
                <c:ptCount val="1"/>
                <c:pt idx="0">
                  <c:v>NI_IR 4 shared_AC_risk</c:v>
                </c:pt>
              </c:strCache>
            </c:strRef>
          </c:tx>
          <c:spPr>
            <a:solidFill>
              <a:schemeClr val="tx2">
                <a:lumMod val="40000"/>
                <a:lumOff val="6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CostAllocationExample!$AM$67:$AM$71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59DA-4ED6-BEA0-A42499C3316A}"/>
            </c:ext>
          </c:extLst>
        </c:ser>
        <c:ser>
          <c:idx val="2"/>
          <c:order val="3"/>
          <c:tx>
            <c:strRef>
              <c:f>CostAllocationExample!$AN$66</c:f>
              <c:strCache>
                <c:ptCount val="1"/>
                <c:pt idx="0">
                  <c:v>NI_IR 4 SI_AC_Risk</c:v>
                </c:pt>
              </c:strCache>
            </c:strRef>
          </c:tx>
          <c:spPr>
            <a:solidFill>
              <a:schemeClr val="accent1">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CostAllocationExample!$AN$67:$AN$71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59DA-4ED6-BEA0-A42499C3316A}"/>
            </c:ext>
          </c:extLst>
        </c:ser>
        <c:ser>
          <c:idx val="3"/>
          <c:order val="4"/>
          <c:tx>
            <c:strRef>
              <c:f>CostAllocationExample!$AO$66</c:f>
              <c:strCache>
                <c:ptCount val="1"/>
                <c:pt idx="0">
                  <c:v>SI_IR 4 NI_AC_Risk</c:v>
                </c:pt>
              </c:strCache>
            </c:strRef>
          </c:tx>
          <c:spPr>
            <a:solidFill>
              <a:schemeClr val="accent2">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CostAllocationExample!$AO$67:$AO$71</c:f>
              <c:numCache>
                <c:formatCode>#,##0_ ;[Red]\-#,##0\ </c:formatCode>
                <c:ptCount val="5"/>
                <c:pt idx="0">
                  <c:v>98</c:v>
                </c:pt>
                <c:pt idx="1">
                  <c:v>76</c:v>
                </c:pt>
                <c:pt idx="2">
                  <c:v>0</c:v>
                </c:pt>
                <c:pt idx="3">
                  <c:v>0</c:v>
                </c:pt>
                <c:pt idx="4">
                  <c:v>0</c:v>
                </c:pt>
              </c:numCache>
            </c:numRef>
          </c:val>
          <c:extLst xmlns:c16r2="http://schemas.microsoft.com/office/drawing/2015/06/chart">
            <c:ext xmlns:c16="http://schemas.microsoft.com/office/drawing/2014/chart" uri="{C3380CC4-5D6E-409C-BE32-E72D297353CC}">
              <c16:uniqueId val="{00000003-59DA-4ED6-BEA0-A42499C3316A}"/>
            </c:ext>
          </c:extLst>
        </c:ser>
        <c:ser>
          <c:idx val="4"/>
          <c:order val="5"/>
          <c:tx>
            <c:strRef>
              <c:f>CostAllocationExample!$AP$66</c:f>
              <c:strCache>
                <c:ptCount val="1"/>
                <c:pt idx="0">
                  <c:v>SI_IR 4 shared_AC_risk</c:v>
                </c:pt>
              </c:strCache>
            </c:strRef>
          </c:tx>
          <c:spPr>
            <a:solidFill>
              <a:schemeClr val="accent2">
                <a:lumMod val="60000"/>
                <a:lumOff val="4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CostAllocationExample!$AP$67:$AP$71</c:f>
              <c:numCache>
                <c:formatCode>#,##0_ ;[Red]\-#,##0\ </c:formatCode>
                <c:ptCount val="5"/>
                <c:pt idx="0">
                  <c:v>122</c:v>
                </c:pt>
                <c:pt idx="1">
                  <c:v>122</c:v>
                </c:pt>
                <c:pt idx="2">
                  <c:v>98</c:v>
                </c:pt>
                <c:pt idx="3">
                  <c:v>0</c:v>
                </c:pt>
                <c:pt idx="4">
                  <c:v>0</c:v>
                </c:pt>
              </c:numCache>
            </c:numRef>
          </c:val>
          <c:extLst xmlns:c16r2="http://schemas.microsoft.com/office/drawing/2015/06/chart">
            <c:ext xmlns:c16="http://schemas.microsoft.com/office/drawing/2014/chart" uri="{C3380CC4-5D6E-409C-BE32-E72D297353CC}">
              <c16:uniqueId val="{00000004-59DA-4ED6-BEA0-A42499C3316A}"/>
            </c:ext>
          </c:extLst>
        </c:ser>
        <c:ser>
          <c:idx val="5"/>
          <c:order val="6"/>
          <c:tx>
            <c:strRef>
              <c:f>CostAllocationExample!$AQ$66</c:f>
              <c:strCache>
                <c:ptCount val="1"/>
                <c:pt idx="0">
                  <c:v>SI_IR 4 SI_Risk</c:v>
                </c:pt>
              </c:strCache>
            </c:strRef>
          </c:tx>
          <c:spPr>
            <a:solidFill>
              <a:schemeClr val="accent2"/>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CostAllocationExample!$AQ$67:$AQ$71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59DA-4ED6-BEA0-A42499C3316A}"/>
            </c:ext>
          </c:extLst>
        </c:ser>
        <c:dLbls>
          <c:showLegendKey val="0"/>
          <c:showVal val="0"/>
          <c:showCatName val="0"/>
          <c:showSerName val="0"/>
          <c:showPercent val="0"/>
          <c:showBubbleSize val="0"/>
        </c:dLbls>
        <c:gapWidth val="150"/>
        <c:overlap val="100"/>
        <c:axId val="229205120"/>
        <c:axId val="229207040"/>
      </c:barChart>
      <c:catAx>
        <c:axId val="229205120"/>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r>
                  <a:rPr lang="en-NZ">
                    <a:solidFill>
                      <a:schemeClr val="accent6">
                        <a:lumMod val="50000"/>
                      </a:schemeClr>
                    </a:solidFill>
                  </a:rPr>
                  <a:t>Energy transfer</a:t>
                </a:r>
                <a:r>
                  <a:rPr lang="en-NZ" baseline="0">
                    <a:solidFill>
                      <a:schemeClr val="accent6">
                        <a:lumMod val="50000"/>
                      </a:schemeClr>
                    </a:solidFill>
                  </a:rPr>
                  <a:t> across  HVDC</a:t>
                </a:r>
              </a:p>
              <a:p>
                <a:pPr>
                  <a:defRPr sz="1400" b="0" i="0" u="none" strike="noStrike" kern="1200" baseline="0">
                    <a:solidFill>
                      <a:schemeClr val="accent6">
                        <a:lumMod val="50000"/>
                      </a:schemeClr>
                    </a:solidFill>
                    <a:latin typeface="+mn-lt"/>
                    <a:ea typeface="+mn-ea"/>
                    <a:cs typeface="+mn-cs"/>
                  </a:defRPr>
                </a:pPr>
                <a:r>
                  <a:rPr lang="en-NZ" baseline="0">
                    <a:solidFill>
                      <a:schemeClr val="accent6">
                        <a:lumMod val="50000"/>
                      </a:schemeClr>
                    </a:solidFill>
                  </a:rPr>
                  <a:t>[NI DC CE Risk]</a:t>
                </a:r>
                <a:endParaRPr lang="en-NZ">
                  <a:solidFill>
                    <a:schemeClr val="accent6">
                      <a:lumMod val="50000"/>
                    </a:schemeClr>
                  </a:solidFill>
                </a:endParaRPr>
              </a:p>
            </c:rich>
          </c:tx>
          <c:layout>
            <c:manualLayout>
              <c:xMode val="edge"/>
              <c:yMode val="edge"/>
              <c:x val="0.53383901725469574"/>
              <c:y val="0.937836480450196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endParaRPr lang="en-US"/>
          </a:p>
        </c:txPr>
        <c:crossAx val="229207040"/>
        <c:crosses val="autoZero"/>
        <c:auto val="1"/>
        <c:lblAlgn val="ctr"/>
        <c:lblOffset val="100"/>
        <c:noMultiLvlLbl val="0"/>
      </c:catAx>
      <c:valAx>
        <c:axId val="229207040"/>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9205120"/>
        <c:crosses val="autoZero"/>
        <c:crossBetween val="between"/>
      </c:valAx>
      <c:spPr>
        <a:noFill/>
        <a:ln>
          <a:noFill/>
        </a:ln>
        <a:effectLst/>
      </c:spPr>
    </c:plotArea>
    <c:legend>
      <c:legendPos val="l"/>
      <c:layout>
        <c:manualLayout>
          <c:xMode val="edge"/>
          <c:yMode val="edge"/>
          <c:x val="9.7816597474046831E-3"/>
          <c:y val="8.4660973744583229E-2"/>
          <c:w val="0.22134901482016955"/>
          <c:h val="0.783813195683575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NZ"/>
              <a:t>IR cost ($)</a:t>
            </a:r>
          </a:p>
        </c:rich>
      </c:tx>
      <c:layout>
        <c:manualLayout>
          <c:xMode val="edge"/>
          <c:yMode val="edge"/>
          <c:x val="0.57074726939176845"/>
          <c:y val="2.2406326452189325E-2"/>
        </c:manualLayout>
      </c:layout>
      <c:overlay val="0"/>
      <c:spPr>
        <a:noFill/>
        <a:ln>
          <a:noFill/>
        </a:ln>
        <a:effectLst/>
      </c:spPr>
    </c:title>
    <c:autoTitleDeleted val="0"/>
    <c:plotArea>
      <c:layout>
        <c:manualLayout>
          <c:layoutTarget val="inner"/>
          <c:xMode val="edge"/>
          <c:yMode val="edge"/>
          <c:x val="0.3087168837223811"/>
          <c:y val="2.3052303307907068E-2"/>
          <c:w val="0.68105524853438759"/>
          <c:h val="0.76793392980158259"/>
        </c:manualLayout>
      </c:layout>
      <c:barChart>
        <c:barDir val="col"/>
        <c:grouping val="stacked"/>
        <c:varyColors val="0"/>
        <c:ser>
          <c:idx val="0"/>
          <c:order val="0"/>
          <c:tx>
            <c:strRef>
              <c:f>CostAllocationExample!$AV$66</c:f>
              <c:strCache>
                <c:ptCount val="1"/>
                <c:pt idx="0">
                  <c:v>NI_IR 4 NI_Risk</c:v>
                </c:pt>
              </c:strCache>
            </c:strRef>
          </c:tx>
          <c:spPr>
            <a:solidFill>
              <a:schemeClr val="accent1"/>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CostAllocationExample!$AV$67:$AV$71</c:f>
              <c:numCache>
                <c:formatCode>#,##0_ ;[Red]\-#,##0\ </c:formatCode>
                <c:ptCount val="5"/>
                <c:pt idx="0">
                  <c:v>1800</c:v>
                </c:pt>
                <c:pt idx="1">
                  <c:v>2020</c:v>
                </c:pt>
                <c:pt idx="2">
                  <c:v>2780</c:v>
                </c:pt>
                <c:pt idx="3">
                  <c:v>2800</c:v>
                </c:pt>
                <c:pt idx="4">
                  <c:v>3800</c:v>
                </c:pt>
              </c:numCache>
            </c:numRef>
          </c:val>
          <c:extLst xmlns:c16r2="http://schemas.microsoft.com/office/drawing/2015/06/chart">
            <c:ext xmlns:c16="http://schemas.microsoft.com/office/drawing/2014/chart" uri="{C3380CC4-5D6E-409C-BE32-E72D297353CC}">
              <c16:uniqueId val="{00000000-358A-49F0-A7A7-DC845718C83F}"/>
            </c:ext>
          </c:extLst>
        </c:ser>
        <c:ser>
          <c:idx val="1"/>
          <c:order val="1"/>
          <c:tx>
            <c:strRef>
              <c:f>CostAllocationExample!$AW$66</c:f>
              <c:strCache>
                <c:ptCount val="1"/>
                <c:pt idx="0">
                  <c:v>NI_IR 4 shared_risk</c:v>
                </c:pt>
              </c:strCache>
            </c:strRef>
          </c:tx>
          <c:spPr>
            <a:solidFill>
              <a:schemeClr val="tx2">
                <a:lumMod val="40000"/>
                <a:lumOff val="6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CostAllocationExample!$AW$67:$AW$71</c:f>
              <c:numCache>
                <c:formatCode>#,##0_ ;[Red]\-#,##0\ </c:formatCode>
                <c:ptCount val="5"/>
                <c:pt idx="0">
                  <c:v>0</c:v>
                </c:pt>
                <c:pt idx="1">
                  <c:v>0</c:v>
                </c:pt>
                <c:pt idx="2">
                  <c:v>240</c:v>
                </c:pt>
                <c:pt idx="3">
                  <c:v>1220</c:v>
                </c:pt>
                <c:pt idx="4">
                  <c:v>1220</c:v>
                </c:pt>
              </c:numCache>
            </c:numRef>
          </c:val>
          <c:extLst xmlns:c16r2="http://schemas.microsoft.com/office/drawing/2015/06/chart">
            <c:ext xmlns:c16="http://schemas.microsoft.com/office/drawing/2014/chart" uri="{C3380CC4-5D6E-409C-BE32-E72D297353CC}">
              <c16:uniqueId val="{00000001-358A-49F0-A7A7-DC845718C83F}"/>
            </c:ext>
          </c:extLst>
        </c:ser>
        <c:ser>
          <c:idx val="2"/>
          <c:order val="2"/>
          <c:tx>
            <c:strRef>
              <c:f>CostAllocationExample!$AX$66</c:f>
              <c:strCache>
                <c:ptCount val="1"/>
                <c:pt idx="0">
                  <c:v>NI_IR 4 SI_Risk</c:v>
                </c:pt>
              </c:strCache>
            </c:strRef>
          </c:tx>
          <c:spPr>
            <a:solidFill>
              <a:schemeClr val="accent1">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CostAllocationExample!$AX$67:$AX$71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358A-49F0-A7A7-DC845718C83F}"/>
            </c:ext>
          </c:extLst>
        </c:ser>
        <c:ser>
          <c:idx val="3"/>
          <c:order val="3"/>
          <c:tx>
            <c:strRef>
              <c:f>CostAllocationExample!$AY$66</c:f>
              <c:strCache>
                <c:ptCount val="1"/>
                <c:pt idx="0">
                  <c:v>SI_IR 4 NI_Risk</c:v>
                </c:pt>
              </c:strCache>
            </c:strRef>
          </c:tx>
          <c:spPr>
            <a:solidFill>
              <a:schemeClr val="accent2">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CostAllocationExample!$AY$67:$AY$71</c:f>
              <c:numCache>
                <c:formatCode>#,##0_ ;[Red]\-#,##0\ </c:formatCode>
                <c:ptCount val="5"/>
                <c:pt idx="0">
                  <c:v>98</c:v>
                </c:pt>
                <c:pt idx="1">
                  <c:v>76</c:v>
                </c:pt>
                <c:pt idx="2">
                  <c:v>0</c:v>
                </c:pt>
                <c:pt idx="3">
                  <c:v>0</c:v>
                </c:pt>
                <c:pt idx="4">
                  <c:v>0</c:v>
                </c:pt>
              </c:numCache>
            </c:numRef>
          </c:val>
          <c:extLst xmlns:c16r2="http://schemas.microsoft.com/office/drawing/2015/06/chart">
            <c:ext xmlns:c16="http://schemas.microsoft.com/office/drawing/2014/chart" uri="{C3380CC4-5D6E-409C-BE32-E72D297353CC}">
              <c16:uniqueId val="{00000003-358A-49F0-A7A7-DC845718C83F}"/>
            </c:ext>
          </c:extLst>
        </c:ser>
        <c:ser>
          <c:idx val="4"/>
          <c:order val="4"/>
          <c:tx>
            <c:strRef>
              <c:f>CostAllocationExample!$AZ$66</c:f>
              <c:strCache>
                <c:ptCount val="1"/>
                <c:pt idx="0">
                  <c:v>SI_IR 4 shared_risk</c:v>
                </c:pt>
              </c:strCache>
            </c:strRef>
          </c:tx>
          <c:spPr>
            <a:solidFill>
              <a:schemeClr val="accent2">
                <a:lumMod val="60000"/>
                <a:lumOff val="4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CostAllocationExample!$AZ$67:$AZ$71</c:f>
              <c:numCache>
                <c:formatCode>#,##0_ ;[Red]\-#,##0\ </c:formatCode>
                <c:ptCount val="5"/>
                <c:pt idx="0">
                  <c:v>122</c:v>
                </c:pt>
                <c:pt idx="1">
                  <c:v>122</c:v>
                </c:pt>
                <c:pt idx="2">
                  <c:v>98</c:v>
                </c:pt>
                <c:pt idx="3">
                  <c:v>0</c:v>
                </c:pt>
                <c:pt idx="4">
                  <c:v>0</c:v>
                </c:pt>
              </c:numCache>
            </c:numRef>
          </c:val>
          <c:extLst xmlns:c16r2="http://schemas.microsoft.com/office/drawing/2015/06/chart">
            <c:ext xmlns:c16="http://schemas.microsoft.com/office/drawing/2014/chart" uri="{C3380CC4-5D6E-409C-BE32-E72D297353CC}">
              <c16:uniqueId val="{00000004-358A-49F0-A7A7-DC845718C83F}"/>
            </c:ext>
          </c:extLst>
        </c:ser>
        <c:ser>
          <c:idx val="5"/>
          <c:order val="5"/>
          <c:tx>
            <c:strRef>
              <c:f>CostAllocationExample!$BA$66</c:f>
              <c:strCache>
                <c:ptCount val="1"/>
                <c:pt idx="0">
                  <c:v>SI_IR 4 SI_Risk</c:v>
                </c:pt>
              </c:strCache>
            </c:strRef>
          </c:tx>
          <c:spPr>
            <a:solidFill>
              <a:schemeClr val="accent2"/>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CostAllocationExample!$BA$67:$BA$71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358A-49F0-A7A7-DC845718C83F}"/>
            </c:ext>
          </c:extLst>
        </c:ser>
        <c:dLbls>
          <c:showLegendKey val="0"/>
          <c:showVal val="0"/>
          <c:showCatName val="0"/>
          <c:showSerName val="0"/>
          <c:showPercent val="0"/>
          <c:showBubbleSize val="0"/>
        </c:dLbls>
        <c:gapWidth val="150"/>
        <c:overlap val="100"/>
        <c:axId val="229267712"/>
        <c:axId val="229282176"/>
      </c:barChart>
      <c:catAx>
        <c:axId val="22926771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r>
                  <a:rPr lang="en-NZ">
                    <a:solidFill>
                      <a:schemeClr val="accent6">
                        <a:lumMod val="50000"/>
                      </a:schemeClr>
                    </a:solidFill>
                  </a:rPr>
                  <a:t>Energy transfer</a:t>
                </a:r>
                <a:r>
                  <a:rPr lang="en-NZ" baseline="0">
                    <a:solidFill>
                      <a:schemeClr val="accent6">
                        <a:lumMod val="50000"/>
                      </a:schemeClr>
                    </a:solidFill>
                  </a:rPr>
                  <a:t> across  HVDC</a:t>
                </a:r>
              </a:p>
              <a:p>
                <a:pPr>
                  <a:defRPr sz="1400" b="0" i="0" u="none" strike="noStrike" kern="1200" baseline="0">
                    <a:solidFill>
                      <a:schemeClr val="accent6">
                        <a:lumMod val="50000"/>
                      </a:schemeClr>
                    </a:solidFill>
                    <a:latin typeface="+mn-lt"/>
                    <a:ea typeface="+mn-ea"/>
                    <a:cs typeface="+mn-cs"/>
                  </a:defRPr>
                </a:pPr>
                <a:r>
                  <a:rPr lang="en-NZ" baseline="0">
                    <a:solidFill>
                      <a:schemeClr val="accent6">
                        <a:lumMod val="50000"/>
                      </a:schemeClr>
                    </a:solidFill>
                  </a:rPr>
                  <a:t>[NI DC CE Risk]</a:t>
                </a:r>
                <a:endParaRPr lang="en-NZ">
                  <a:solidFill>
                    <a:schemeClr val="accent6">
                      <a:lumMod val="50000"/>
                    </a:schemeClr>
                  </a:solidFill>
                </a:endParaRPr>
              </a:p>
            </c:rich>
          </c:tx>
          <c:layout>
            <c:manualLayout>
              <c:xMode val="edge"/>
              <c:yMode val="edge"/>
              <c:x val="0.53383901725469574"/>
              <c:y val="0.937836480450196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endParaRPr lang="en-US"/>
          </a:p>
        </c:txPr>
        <c:crossAx val="229282176"/>
        <c:crosses val="autoZero"/>
        <c:auto val="1"/>
        <c:lblAlgn val="ctr"/>
        <c:lblOffset val="100"/>
        <c:noMultiLvlLbl val="0"/>
      </c:catAx>
      <c:valAx>
        <c:axId val="229282176"/>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29267712"/>
        <c:crosses val="autoZero"/>
        <c:crossBetween val="between"/>
      </c:valAx>
      <c:spPr>
        <a:noFill/>
        <a:ln>
          <a:noFill/>
        </a:ln>
        <a:effectLst/>
      </c:spPr>
    </c:plotArea>
    <c:legend>
      <c:legendPos val="l"/>
      <c:layout>
        <c:manualLayout>
          <c:xMode val="edge"/>
          <c:yMode val="edge"/>
          <c:x val="9.7816597474046831E-3"/>
          <c:y val="0.33015751433625057"/>
          <c:w val="0.215613326112192"/>
          <c:h val="0.5318986082230924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NZ"/>
              <a:t>IR cost ($)</a:t>
            </a:r>
          </a:p>
        </c:rich>
      </c:tx>
      <c:layout>
        <c:manualLayout>
          <c:xMode val="edge"/>
          <c:yMode val="edge"/>
          <c:x val="0.56741057089728941"/>
          <c:y val="2.7801852323901775E-2"/>
        </c:manualLayout>
      </c:layout>
      <c:overlay val="0"/>
      <c:spPr>
        <a:noFill/>
        <a:ln>
          <a:noFill/>
        </a:ln>
        <a:effectLst/>
      </c:spPr>
    </c:title>
    <c:autoTitleDeleted val="0"/>
    <c:plotArea>
      <c:layout>
        <c:manualLayout>
          <c:layoutTarget val="inner"/>
          <c:xMode val="edge"/>
          <c:yMode val="edge"/>
          <c:x val="0.3087168837223811"/>
          <c:y val="2.3052298411079957E-2"/>
          <c:w val="0.68105524853438759"/>
          <c:h val="0.77872504036026846"/>
        </c:manualLayout>
      </c:layout>
      <c:barChart>
        <c:barDir val="col"/>
        <c:grouping val="stacked"/>
        <c:varyColors val="0"/>
        <c:ser>
          <c:idx val="0"/>
          <c:order val="0"/>
          <c:tx>
            <c:strRef>
              <c:f>CostAllocationExample!$BF$66</c:f>
              <c:strCache>
                <c:ptCount val="1"/>
                <c:pt idx="0">
                  <c:v>NI_IR_4_NI_CE</c:v>
                </c:pt>
              </c:strCache>
            </c:strRef>
          </c:tx>
          <c:spPr>
            <a:solidFill>
              <a:schemeClr val="accent1"/>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CostAllocationExample!$BF$67:$BF$71</c:f>
              <c:numCache>
                <c:formatCode>#,##0_ ;[Red]\-#,##0\ </c:formatCode>
                <c:ptCount val="5"/>
                <c:pt idx="0">
                  <c:v>1800</c:v>
                </c:pt>
                <c:pt idx="1">
                  <c:v>1800</c:v>
                </c:pt>
                <c:pt idx="2">
                  <c:v>1800</c:v>
                </c:pt>
                <c:pt idx="3">
                  <c:v>1800</c:v>
                </c:pt>
                <c:pt idx="4">
                  <c:v>1800</c:v>
                </c:pt>
              </c:numCache>
            </c:numRef>
          </c:val>
          <c:extLst xmlns:c16r2="http://schemas.microsoft.com/office/drawing/2015/06/chart">
            <c:ext xmlns:c16="http://schemas.microsoft.com/office/drawing/2014/chart" uri="{C3380CC4-5D6E-409C-BE32-E72D297353CC}">
              <c16:uniqueId val="{00000000-53B2-45AC-B6A6-2F9280E199DF}"/>
            </c:ext>
          </c:extLst>
        </c:ser>
        <c:ser>
          <c:idx val="6"/>
          <c:order val="1"/>
          <c:tx>
            <c:strRef>
              <c:f>CostAllocationExample!$BL$66</c:f>
              <c:strCache>
                <c:ptCount val="1"/>
                <c:pt idx="0">
                  <c:v>NI_IR_4_NI_DC_CE</c:v>
                </c:pt>
              </c:strCache>
            </c:strRef>
          </c:tx>
          <c:spPr>
            <a:solidFill>
              <a:schemeClr val="accent3"/>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CostAllocationExample!$BL$67:$BL$71</c:f>
              <c:numCache>
                <c:formatCode>#,##0_ ;[Red]\-#,##0\ </c:formatCode>
                <c:ptCount val="5"/>
                <c:pt idx="0">
                  <c:v>0</c:v>
                </c:pt>
                <c:pt idx="1">
                  <c:v>220</c:v>
                </c:pt>
                <c:pt idx="2">
                  <c:v>1220</c:v>
                </c:pt>
                <c:pt idx="3">
                  <c:v>2220</c:v>
                </c:pt>
                <c:pt idx="4">
                  <c:v>3220</c:v>
                </c:pt>
              </c:numCache>
            </c:numRef>
          </c:val>
          <c:extLst xmlns:c16r2="http://schemas.microsoft.com/office/drawing/2015/06/chart">
            <c:ext xmlns:c16="http://schemas.microsoft.com/office/drawing/2014/chart" uri="{C3380CC4-5D6E-409C-BE32-E72D297353CC}">
              <c16:uniqueId val="{00000001-53B2-45AC-B6A6-2F9280E199DF}"/>
            </c:ext>
          </c:extLst>
        </c:ser>
        <c:ser>
          <c:idx val="1"/>
          <c:order val="2"/>
          <c:tx>
            <c:strRef>
              <c:f>CostAllocationExample!$BG$66</c:f>
              <c:strCache>
                <c:ptCount val="1"/>
                <c:pt idx="0">
                  <c:v>NI_IR 4 shared_AC_risk</c:v>
                </c:pt>
              </c:strCache>
            </c:strRef>
          </c:tx>
          <c:spPr>
            <a:solidFill>
              <a:schemeClr val="tx2">
                <a:lumMod val="40000"/>
                <a:lumOff val="6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CostAllocationExample!$BG$67:$BG$71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53B2-45AC-B6A6-2F9280E199DF}"/>
            </c:ext>
          </c:extLst>
        </c:ser>
        <c:ser>
          <c:idx val="2"/>
          <c:order val="3"/>
          <c:tx>
            <c:strRef>
              <c:f>CostAllocationExample!$BH$66</c:f>
              <c:strCache>
                <c:ptCount val="1"/>
                <c:pt idx="0">
                  <c:v>NI_IR 4 SI_AC_Risk</c:v>
                </c:pt>
              </c:strCache>
            </c:strRef>
          </c:tx>
          <c:spPr>
            <a:solidFill>
              <a:schemeClr val="accent1">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CostAllocationExample!$BH$67:$BH$71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53B2-45AC-B6A6-2F9280E199DF}"/>
            </c:ext>
          </c:extLst>
        </c:ser>
        <c:ser>
          <c:idx val="3"/>
          <c:order val="4"/>
          <c:tx>
            <c:strRef>
              <c:f>CostAllocationExample!$BI$66</c:f>
              <c:strCache>
                <c:ptCount val="1"/>
                <c:pt idx="0">
                  <c:v>SI_IR 4 NI_AC_Risk</c:v>
                </c:pt>
              </c:strCache>
            </c:strRef>
          </c:tx>
          <c:spPr>
            <a:solidFill>
              <a:schemeClr val="accent2">
                <a:lumMod val="20000"/>
                <a:lumOff val="8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CostAllocationExample!$BI$67:$BI$71</c:f>
              <c:numCache>
                <c:formatCode>#,##0_ ;[Red]\-#,##0\ </c:formatCode>
                <c:ptCount val="5"/>
                <c:pt idx="0">
                  <c:v>98</c:v>
                </c:pt>
                <c:pt idx="1">
                  <c:v>76</c:v>
                </c:pt>
                <c:pt idx="2">
                  <c:v>0</c:v>
                </c:pt>
                <c:pt idx="3">
                  <c:v>0</c:v>
                </c:pt>
                <c:pt idx="4">
                  <c:v>0</c:v>
                </c:pt>
              </c:numCache>
            </c:numRef>
          </c:val>
          <c:extLst xmlns:c16r2="http://schemas.microsoft.com/office/drawing/2015/06/chart">
            <c:ext xmlns:c16="http://schemas.microsoft.com/office/drawing/2014/chart" uri="{C3380CC4-5D6E-409C-BE32-E72D297353CC}">
              <c16:uniqueId val="{00000004-53B2-45AC-B6A6-2F9280E199DF}"/>
            </c:ext>
          </c:extLst>
        </c:ser>
        <c:ser>
          <c:idx val="4"/>
          <c:order val="5"/>
          <c:tx>
            <c:strRef>
              <c:f>CostAllocationExample!$BJ$66</c:f>
              <c:strCache>
                <c:ptCount val="1"/>
                <c:pt idx="0">
                  <c:v>SI_IR 4 shared_AC_risk</c:v>
                </c:pt>
              </c:strCache>
            </c:strRef>
          </c:tx>
          <c:spPr>
            <a:solidFill>
              <a:schemeClr val="accent2">
                <a:lumMod val="60000"/>
                <a:lumOff val="40000"/>
              </a:schemeClr>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CostAllocationExample!$BJ$67:$BJ$71</c:f>
              <c:numCache>
                <c:formatCode>#,##0_ ;[Red]\-#,##0\ </c:formatCode>
                <c:ptCount val="5"/>
                <c:pt idx="0">
                  <c:v>122</c:v>
                </c:pt>
                <c:pt idx="1">
                  <c:v>122</c:v>
                </c:pt>
                <c:pt idx="2">
                  <c:v>98</c:v>
                </c:pt>
                <c:pt idx="3">
                  <c:v>0</c:v>
                </c:pt>
                <c:pt idx="4">
                  <c:v>0</c:v>
                </c:pt>
              </c:numCache>
            </c:numRef>
          </c:val>
          <c:extLst xmlns:c16r2="http://schemas.microsoft.com/office/drawing/2015/06/chart">
            <c:ext xmlns:c16="http://schemas.microsoft.com/office/drawing/2014/chart" uri="{C3380CC4-5D6E-409C-BE32-E72D297353CC}">
              <c16:uniqueId val="{00000005-53B2-45AC-B6A6-2F9280E199DF}"/>
            </c:ext>
          </c:extLst>
        </c:ser>
        <c:ser>
          <c:idx val="5"/>
          <c:order val="6"/>
          <c:tx>
            <c:strRef>
              <c:f>CostAllocationExample!$BK$66</c:f>
              <c:strCache>
                <c:ptCount val="1"/>
                <c:pt idx="0">
                  <c:v>SI_IR 4 SI_Risk</c:v>
                </c:pt>
              </c:strCache>
            </c:strRef>
          </c:tx>
          <c:spPr>
            <a:solidFill>
              <a:schemeClr val="accent2"/>
            </a:solidFill>
            <a:ln>
              <a:noFill/>
            </a:ln>
            <a:effectLst/>
          </c:spPr>
          <c:invertIfNegative val="0"/>
          <c:cat>
            <c:strRef>
              <c:f>CostAllocationExample!$AA$67:$AA$71</c:f>
              <c:strCache>
                <c:ptCount val="5"/>
                <c:pt idx="0">
                  <c:v>0 MW
[0 MW]</c:v>
                </c:pt>
                <c:pt idx="1">
                  <c:v>700 MW
[202 MW]</c:v>
                </c:pt>
                <c:pt idx="2">
                  <c:v>800 MW
[302 MW]</c:v>
                </c:pt>
                <c:pt idx="3">
                  <c:v>900 MW
[402 MW]</c:v>
                </c:pt>
                <c:pt idx="4">
                  <c:v>1000 MW
[502 MW]</c:v>
                </c:pt>
              </c:strCache>
            </c:strRef>
          </c:cat>
          <c:val>
            <c:numRef>
              <c:f>CostAllocationExample!$BK$67:$BK$71</c:f>
              <c:numCache>
                <c:formatCode>#,##0_ ;[Red]\-#,##0\ </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53B2-45AC-B6A6-2F9280E199DF}"/>
            </c:ext>
          </c:extLst>
        </c:ser>
        <c:dLbls>
          <c:showLegendKey val="0"/>
          <c:showVal val="0"/>
          <c:showCatName val="0"/>
          <c:showSerName val="0"/>
          <c:showPercent val="0"/>
          <c:showBubbleSize val="0"/>
        </c:dLbls>
        <c:gapWidth val="150"/>
        <c:overlap val="100"/>
        <c:axId val="231113088"/>
        <c:axId val="231115008"/>
      </c:barChart>
      <c:catAx>
        <c:axId val="231113088"/>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r>
                  <a:rPr lang="en-NZ">
                    <a:solidFill>
                      <a:schemeClr val="accent6">
                        <a:lumMod val="50000"/>
                      </a:schemeClr>
                    </a:solidFill>
                  </a:rPr>
                  <a:t>Energy transfer</a:t>
                </a:r>
                <a:r>
                  <a:rPr lang="en-NZ" baseline="0">
                    <a:solidFill>
                      <a:schemeClr val="accent6">
                        <a:lumMod val="50000"/>
                      </a:schemeClr>
                    </a:solidFill>
                  </a:rPr>
                  <a:t> across  HVDC</a:t>
                </a:r>
              </a:p>
              <a:p>
                <a:pPr>
                  <a:defRPr sz="1400" b="0" i="0" u="none" strike="noStrike" kern="1200" baseline="0">
                    <a:solidFill>
                      <a:schemeClr val="accent6">
                        <a:lumMod val="50000"/>
                      </a:schemeClr>
                    </a:solidFill>
                    <a:latin typeface="+mn-lt"/>
                    <a:ea typeface="+mn-ea"/>
                    <a:cs typeface="+mn-cs"/>
                  </a:defRPr>
                </a:pPr>
                <a:r>
                  <a:rPr lang="en-NZ" baseline="0">
                    <a:solidFill>
                      <a:schemeClr val="accent6">
                        <a:lumMod val="50000"/>
                      </a:schemeClr>
                    </a:solidFill>
                  </a:rPr>
                  <a:t>[NI DC CE Risk]</a:t>
                </a:r>
                <a:endParaRPr lang="en-NZ">
                  <a:solidFill>
                    <a:schemeClr val="accent6">
                      <a:lumMod val="50000"/>
                    </a:schemeClr>
                  </a:solidFill>
                </a:endParaRPr>
              </a:p>
            </c:rich>
          </c:tx>
          <c:layout>
            <c:manualLayout>
              <c:xMode val="edge"/>
              <c:yMode val="edge"/>
              <c:x val="0.53383901725469574"/>
              <c:y val="0.937836480450196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mn-lt"/>
                <a:ea typeface="+mn-ea"/>
                <a:cs typeface="+mn-cs"/>
              </a:defRPr>
            </a:pPr>
            <a:endParaRPr lang="en-US"/>
          </a:p>
        </c:txPr>
        <c:crossAx val="231115008"/>
        <c:crosses val="autoZero"/>
        <c:auto val="1"/>
        <c:lblAlgn val="ctr"/>
        <c:lblOffset val="100"/>
        <c:noMultiLvlLbl val="0"/>
      </c:catAx>
      <c:valAx>
        <c:axId val="231115008"/>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31113088"/>
        <c:crosses val="autoZero"/>
        <c:crossBetween val="between"/>
      </c:valAx>
      <c:spPr>
        <a:noFill/>
        <a:ln>
          <a:noFill/>
        </a:ln>
        <a:effectLst/>
      </c:spPr>
    </c:plotArea>
    <c:legend>
      <c:legendPos val="l"/>
      <c:layout>
        <c:manualLayout>
          <c:xMode val="edge"/>
          <c:yMode val="edge"/>
          <c:x val="9.7816597474046831E-3"/>
          <c:y val="8.735873906024301E-2"/>
          <c:w val="0.22134901482016955"/>
          <c:h val="0.7784176650522558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Chart10"/>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11"/>
  <sheetViews>
    <sheetView zoomScale="13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9"/>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0.6222</cdr:x>
      <cdr:y>0.00327</cdr:y>
    </cdr:from>
    <cdr:to>
      <cdr:x>0.72055</cdr:x>
      <cdr:y>0.15373</cdr:y>
    </cdr:to>
    <cdr:sp macro="" textlink="CostAllocationExample!$CD$59">
      <cdr:nvSpPr>
        <cdr:cNvPr id="2" name="TextBox 1">
          <a:extLst xmlns:a="http://schemas.openxmlformats.org/drawingml/2006/main">
            <a:ext uri="{FF2B5EF4-FFF2-40B4-BE49-F238E27FC236}">
              <a16:creationId xmlns:a16="http://schemas.microsoft.com/office/drawing/2014/main" xmlns="" id="{F03643A0-59CE-498E-AC97-BF4767D1C9B5}"/>
            </a:ext>
          </a:extLst>
        </cdr:cNvPr>
        <cdr:cNvSpPr txBox="1"/>
      </cdr:nvSpPr>
      <cdr:spPr>
        <a:xfrm xmlns:a="http://schemas.openxmlformats.org/drawingml/2006/main">
          <a:off x="5784453" y="1984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9F9A363-EEA2-43F1-A9B4-2E1DBFDF00C4}" type="TxLink">
            <a:rPr lang="en-US" sz="1400" b="0" i="0" u="none" strike="noStrike">
              <a:solidFill>
                <a:srgbClr val="000000"/>
              </a:solidFill>
              <a:latin typeface="Calibri"/>
            </a:rPr>
            <a:pPr/>
            <a:t>SI IR price = $1/MW/h, 
NI IR price = $10/MW/h</a:t>
          </a:fld>
          <a:endParaRPr lang="en-NZ" sz="14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0.9698</cdr:y>
    </cdr:from>
    <cdr:to>
      <cdr:x>0.30597</cdr:x>
      <cdr:y>1</cdr:y>
    </cdr:to>
    <cdr:sp macro="" textlink="[0]!BkName">
      <cdr:nvSpPr>
        <cdr:cNvPr id="2" name="TextBox 1">
          <a:extLst xmlns:a="http://schemas.openxmlformats.org/drawingml/2006/main">
            <a:ext uri="{FF2B5EF4-FFF2-40B4-BE49-F238E27FC236}">
              <a16:creationId xmlns:a16="http://schemas.microsoft.com/office/drawing/2014/main" xmlns="" id="{CC0AE84A-DD67-497C-A643-697FDFA18827}"/>
            </a:ext>
          </a:extLst>
        </cdr:cNvPr>
        <cdr:cNvSpPr txBox="1"/>
      </cdr:nvSpPr>
      <cdr:spPr>
        <a:xfrm xmlns:a="http://schemas.openxmlformats.org/drawingml/2006/main">
          <a:off x="0" y="5893594"/>
          <a:ext cx="2844541" cy="18355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indent="0" algn="l"/>
          <a:fld id="{BB02AE63-F7AB-4E35-A362-D3FD045BE8E9}" type="TxLink">
            <a:rPr lang="en-US" sz="800" b="0" i="0" u="none" strike="noStrike">
              <a:solidFill>
                <a:schemeClr val="bg1">
                  <a:lumMod val="50000"/>
                </a:schemeClr>
              </a:solidFill>
              <a:latin typeface="Calibri"/>
              <a:ea typeface="+mn-ea"/>
              <a:cs typeface="+mn-cs"/>
            </a:rPr>
            <a:pPr indent="0" algn="l"/>
            <a:t>HVDC Self IR Cover_v12_2publish.xlsm</a:t>
          </a:fld>
          <a:endParaRPr lang="en-NZ" sz="800">
            <a:solidFill>
              <a:schemeClr val="bg1">
                <a:lumMod val="50000"/>
              </a:schemeClr>
            </a:solidFill>
            <a:latin typeface="+mn-lt"/>
            <a:ea typeface="+mn-ea"/>
            <a:cs typeface="+mn-cs"/>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83212" cy="6044712"/>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0.80256</cdr:x>
      <cdr:y>0.9642</cdr:y>
    </cdr:from>
    <cdr:to>
      <cdr:x>1</cdr:x>
      <cdr:y>1</cdr:y>
    </cdr:to>
    <cdr:sp macro="" textlink="[0]!BkName">
      <cdr:nvSpPr>
        <cdr:cNvPr id="2" name="TextBox 1">
          <a:extLst xmlns:a="http://schemas.openxmlformats.org/drawingml/2006/main">
            <a:ext uri="{FF2B5EF4-FFF2-40B4-BE49-F238E27FC236}">
              <a16:creationId xmlns:a16="http://schemas.microsoft.com/office/drawing/2014/main" xmlns="" id="{6C0B6BE9-6EEF-443B-93D1-9C5D17B40408}"/>
            </a:ext>
          </a:extLst>
        </cdr:cNvPr>
        <cdr:cNvSpPr txBox="1"/>
      </cdr:nvSpPr>
      <cdr:spPr>
        <a:xfrm xmlns:a="http://schemas.openxmlformats.org/drawingml/2006/main">
          <a:off x="7461250" y="5859588"/>
          <a:ext cx="1835547" cy="21756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indent="0" algn="r"/>
          <a:fld id="{1A068E94-36CD-499D-B110-799CABC7147B}" type="TxLink">
            <a:rPr lang="en-US" sz="800" b="0" i="0" u="none" strike="noStrike">
              <a:solidFill>
                <a:schemeClr val="bg1">
                  <a:lumMod val="50000"/>
                </a:schemeClr>
              </a:solidFill>
              <a:latin typeface="Calibri"/>
              <a:ea typeface="+mn-ea"/>
              <a:cs typeface="+mn-cs"/>
            </a:rPr>
            <a:pPr indent="0" algn="r"/>
            <a:t>HVDC Self IR Cover_v12_2publish.xlsm</a:t>
          </a:fld>
          <a:endParaRPr lang="en-NZ" sz="800">
            <a:solidFill>
              <a:schemeClr val="bg1">
                <a:lumMod val="50000"/>
              </a:schemeClr>
            </a:solidFill>
            <a:latin typeface="+mn-lt"/>
            <a:ea typeface="+mn-ea"/>
            <a:cs typeface="+mn-cs"/>
          </a:endParaRPr>
        </a:p>
      </cdr:txBody>
    </cdr:sp>
  </cdr:relSizeAnchor>
  <cdr:relSizeAnchor xmlns:cdr="http://schemas.openxmlformats.org/drawingml/2006/chartDrawing">
    <cdr:from>
      <cdr:x>0.32368</cdr:x>
      <cdr:y>0.01939</cdr:y>
    </cdr:from>
    <cdr:to>
      <cdr:x>0.90055</cdr:x>
      <cdr:y>0.1841</cdr:y>
    </cdr:to>
    <cdr:sp macro="" textlink="CostAllocationExample!$CF$100">
      <cdr:nvSpPr>
        <cdr:cNvPr id="3" name="TextBox 2">
          <a:extLst xmlns:a="http://schemas.openxmlformats.org/drawingml/2006/main">
            <a:ext uri="{FF2B5EF4-FFF2-40B4-BE49-F238E27FC236}">
              <a16:creationId xmlns:a16="http://schemas.microsoft.com/office/drawing/2014/main" xmlns="" id="{07EBA414-0739-42E2-84E5-C0C96BA88B93}"/>
            </a:ext>
          </a:extLst>
        </cdr:cNvPr>
        <cdr:cNvSpPr txBox="1"/>
      </cdr:nvSpPr>
      <cdr:spPr>
        <a:xfrm xmlns:a="http://schemas.openxmlformats.org/drawingml/2006/main">
          <a:off x="3009064" y="117684"/>
          <a:ext cx="5362776" cy="999916"/>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fld id="{07F8E586-B0B4-451B-BC48-0E2691E67AA4}" type="TxLink">
            <a:rPr lang="en-US" sz="1400" b="0" i="0" u="none" strike="noStrike">
              <a:solidFill>
                <a:srgbClr val="000000"/>
              </a:solidFill>
              <a:latin typeface="Calibri"/>
            </a:rPr>
            <a:pPr/>
            <a:t>General allocation approach = Runway.
No large thermals are retired.
SI IR price = $1/MW/h, 
NI IR price = $10/MW/h</a:t>
          </a:fld>
          <a:endParaRPr lang="en-NZ" sz="2400" b="0"/>
        </a:p>
      </cdr:txBody>
    </cdr:sp>
  </cdr:relSizeAnchor>
  <cdr:relSizeAnchor xmlns:cdr="http://schemas.openxmlformats.org/drawingml/2006/chartDrawing">
    <cdr:from>
      <cdr:x>0.59344</cdr:x>
      <cdr:y>0.23038</cdr:y>
    </cdr:from>
    <cdr:to>
      <cdr:x>0.99823</cdr:x>
      <cdr:y>0.44496</cdr:y>
    </cdr:to>
    <cdr:sp macro="" textlink="CostAllocationExample!$CF$98">
      <cdr:nvSpPr>
        <cdr:cNvPr id="4" name="TextBox 3">
          <a:extLst xmlns:a="http://schemas.openxmlformats.org/drawingml/2006/main">
            <a:ext uri="{FF2B5EF4-FFF2-40B4-BE49-F238E27FC236}">
              <a16:creationId xmlns:a16="http://schemas.microsoft.com/office/drawing/2014/main" xmlns="" id="{32760C54-D98F-4B7D-A822-A36BF6EEFE19}"/>
            </a:ext>
          </a:extLst>
        </cdr:cNvPr>
        <cdr:cNvSpPr txBox="1"/>
      </cdr:nvSpPr>
      <cdr:spPr>
        <a:xfrm xmlns:a="http://schemas.openxmlformats.org/drawingml/2006/main">
          <a:off x="5516856" y="1398517"/>
          <a:ext cx="3763089" cy="1302630"/>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fld id="{40BAB3CA-90F1-4DCA-9A92-26C1FBAA85A4}" type="TxLink">
            <a:rPr lang="en-US" sz="1600" b="0" i="0" u="none" strike="noStrike">
              <a:solidFill>
                <a:schemeClr val="accent2"/>
              </a:solidFill>
              <a:latin typeface="Calibri"/>
            </a:rPr>
            <a:pPr/>
            <a:t>.</a:t>
          </a:fld>
          <a:endParaRPr lang="en-NZ" sz="1600">
            <a:solidFill>
              <a:schemeClr val="accent2"/>
            </a:solidFill>
          </a:endParaRPr>
        </a:p>
      </cdr:txBody>
    </cdr:sp>
  </cdr:relSizeAnchor>
  <cdr:relSizeAnchor xmlns:cdr="http://schemas.openxmlformats.org/drawingml/2006/chartDrawing">
    <cdr:from>
      <cdr:x>0.39617</cdr:x>
      <cdr:y>0.9113</cdr:y>
    </cdr:from>
    <cdr:to>
      <cdr:x>0.64153</cdr:x>
      <cdr:y>1</cdr:y>
    </cdr:to>
    <cdr:sp macro="" textlink="CostAllocationExample!$CF$101">
      <cdr:nvSpPr>
        <cdr:cNvPr id="5" name="TextBox 4">
          <a:extLst xmlns:a="http://schemas.openxmlformats.org/drawingml/2006/main">
            <a:ext uri="{FF2B5EF4-FFF2-40B4-BE49-F238E27FC236}">
              <a16:creationId xmlns:a16="http://schemas.microsoft.com/office/drawing/2014/main" xmlns="" id="{EFCC80F6-EBB4-4706-AC0B-D9DF2B9EEDD2}"/>
            </a:ext>
          </a:extLst>
        </cdr:cNvPr>
        <cdr:cNvSpPr txBox="1"/>
      </cdr:nvSpPr>
      <cdr:spPr>
        <a:xfrm xmlns:a="http://schemas.openxmlformats.org/drawingml/2006/main">
          <a:off x="3683000" y="5532120"/>
          <a:ext cx="2280920" cy="538480"/>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pPr algn="ctr"/>
          <a:fld id="{162A96BA-86B1-49A6-8B44-E368D10BBB81}" type="TxLink">
            <a:rPr lang="en-US" sz="1400" b="0" i="0" u="none" strike="noStrike">
              <a:solidFill>
                <a:schemeClr val="accent6">
                  <a:lumMod val="50000"/>
                </a:schemeClr>
              </a:solidFill>
              <a:latin typeface="Calibri"/>
            </a:rPr>
            <a:pPr algn="ctr"/>
            <a:t>Energy transfer across HVDC
[NI DC CE risk]</a:t>
          </a:fld>
          <a:endParaRPr lang="en-NZ" sz="1400">
            <a:solidFill>
              <a:schemeClr val="accent6">
                <a:lumMod val="50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15</xdr:col>
      <xdr:colOff>95910</xdr:colOff>
      <xdr:row>102</xdr:row>
      <xdr:rowOff>33315</xdr:rowOff>
    </xdr:from>
    <xdr:to>
      <xdr:col>28</xdr:col>
      <xdr:colOff>419760</xdr:colOff>
      <xdr:row>128</xdr:row>
      <xdr:rowOff>75045</xdr:rowOff>
    </xdr:to>
    <xdr:graphicFrame macro="">
      <xdr:nvGraphicFramePr>
        <xdr:cNvPr id="7" name="Chart 6">
          <a:extLst>
            <a:ext uri="{FF2B5EF4-FFF2-40B4-BE49-F238E27FC236}">
              <a16:creationId xmlns:a16="http://schemas.microsoft.com/office/drawing/2014/main" xmlns=""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69</xdr:col>
      <xdr:colOff>82826</xdr:colOff>
      <xdr:row>109</xdr:row>
      <xdr:rowOff>72572</xdr:rowOff>
    </xdr:from>
    <xdr:to>
      <xdr:col>75</xdr:col>
      <xdr:colOff>-1</xdr:colOff>
      <xdr:row>124</xdr:row>
      <xdr:rowOff>94344</xdr:rowOff>
    </xdr:to>
    <xdr:graphicFrame macro="">
      <xdr:nvGraphicFramePr>
        <xdr:cNvPr id="10" name="Chart 9">
          <a:extLst>
            <a:ext uri="{FF2B5EF4-FFF2-40B4-BE49-F238E27FC236}">
              <a16:creationId xmlns:a16="http://schemas.microsoft.com/office/drawing/2014/main" xmlns=""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525318</xdr:colOff>
      <xdr:row>130</xdr:row>
      <xdr:rowOff>91540</xdr:rowOff>
    </xdr:from>
    <xdr:to>
      <xdr:col>28</xdr:col>
      <xdr:colOff>243032</xdr:colOff>
      <xdr:row>156</xdr:row>
      <xdr:rowOff>133270</xdr:rowOff>
    </xdr:to>
    <xdr:graphicFrame macro="">
      <xdr:nvGraphicFramePr>
        <xdr:cNvPr id="6" name="Chart 5">
          <a:extLst>
            <a:ext uri="{FF2B5EF4-FFF2-40B4-BE49-F238E27FC236}">
              <a16:creationId xmlns:a16="http://schemas.microsoft.com/office/drawing/2014/main" xmlns=""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380999</xdr:colOff>
      <xdr:row>86</xdr:row>
      <xdr:rowOff>34636</xdr:rowOff>
    </xdr:from>
    <xdr:to>
      <xdr:col>43</xdr:col>
      <xdr:colOff>97227</xdr:colOff>
      <xdr:row>112</xdr:row>
      <xdr:rowOff>76366</xdr:rowOff>
    </xdr:to>
    <xdr:graphicFrame macro="">
      <xdr:nvGraphicFramePr>
        <xdr:cNvPr id="8" name="Chart 7">
          <a:extLst>
            <a:ext uri="{FF2B5EF4-FFF2-40B4-BE49-F238E27FC236}">
              <a16:creationId xmlns:a16="http://schemas.microsoft.com/office/drawing/2014/main" xmlns=""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415636</xdr:colOff>
      <xdr:row>114</xdr:row>
      <xdr:rowOff>0</xdr:rowOff>
    </xdr:from>
    <xdr:to>
      <xdr:col>43</xdr:col>
      <xdr:colOff>131864</xdr:colOff>
      <xdr:row>140</xdr:row>
      <xdr:rowOff>41730</xdr:rowOff>
    </xdr:to>
    <xdr:graphicFrame macro="">
      <xdr:nvGraphicFramePr>
        <xdr:cNvPr id="9" name="Chart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0</xdr:colOff>
      <xdr:row>86</xdr:row>
      <xdr:rowOff>0</xdr:rowOff>
    </xdr:from>
    <xdr:to>
      <xdr:col>56</xdr:col>
      <xdr:colOff>323619</xdr:colOff>
      <xdr:row>112</xdr:row>
      <xdr:rowOff>41730</xdr:rowOff>
    </xdr:to>
    <xdr:graphicFrame macro="">
      <xdr:nvGraphicFramePr>
        <xdr:cNvPr id="11" name="Chart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0</xdr:colOff>
      <xdr:row>114</xdr:row>
      <xdr:rowOff>0</xdr:rowOff>
    </xdr:from>
    <xdr:to>
      <xdr:col>56</xdr:col>
      <xdr:colOff>323619</xdr:colOff>
      <xdr:row>140</xdr:row>
      <xdr:rowOff>41730</xdr:rowOff>
    </xdr:to>
    <xdr:graphicFrame macro="">
      <xdr:nvGraphicFramePr>
        <xdr:cNvPr id="12" name="Chart 11">
          <a:extLst>
            <a:ext uri="{FF2B5EF4-FFF2-40B4-BE49-F238E27FC236}">
              <a16:creationId xmlns:a16="http://schemas.microsoft.com/office/drawing/2014/main" xmlns=""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0.94965</cdr:y>
    </cdr:from>
    <cdr:to>
      <cdr:x>0.30597</cdr:x>
      <cdr:y>1</cdr:y>
    </cdr:to>
    <cdr:sp macro="" textlink="BkName">
      <cdr:nvSpPr>
        <cdr:cNvPr id="2" name="TextBox 1">
          <a:extLst xmlns:a="http://schemas.openxmlformats.org/drawingml/2006/main">
            <a:ext uri="{FF2B5EF4-FFF2-40B4-BE49-F238E27FC236}">
              <a16:creationId xmlns:a16="http://schemas.microsoft.com/office/drawing/2014/main" xmlns="" id="{F71CD843-673D-4F2A-AEDE-C649729A2832}"/>
            </a:ext>
          </a:extLst>
        </cdr:cNvPr>
        <cdr:cNvSpPr txBox="1"/>
      </cdr:nvSpPr>
      <cdr:spPr>
        <a:xfrm xmlns:a="http://schemas.openxmlformats.org/drawingml/2006/main">
          <a:off x="0" y="3424336"/>
          <a:ext cx="1639677" cy="18155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indent="0" algn="l"/>
          <a:fld id="{BB02AE63-F7AB-4E35-A362-D3FD045BE8E9}" type="TxLink">
            <a:rPr lang="en-US" sz="800" b="0" i="0" u="none" strike="noStrike">
              <a:solidFill>
                <a:schemeClr val="bg1">
                  <a:lumMod val="50000"/>
                </a:schemeClr>
              </a:solidFill>
              <a:latin typeface="Calibri"/>
              <a:ea typeface="+mn-ea"/>
              <a:cs typeface="+mn-cs"/>
            </a:rPr>
            <a:pPr indent="0" algn="l"/>
            <a:t>HVDC Self IR Cover_v12_2publish.xlsm</a:t>
          </a:fld>
          <a:endParaRPr lang="en-NZ" sz="800">
            <a:solidFill>
              <a:schemeClr val="bg1">
                <a:lumMod val="50000"/>
              </a:schemeClr>
            </a:solidFill>
            <a:latin typeface="+mn-lt"/>
            <a:ea typeface="+mn-ea"/>
            <a:cs typeface="+mn-cs"/>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0.27381</cdr:x>
      <cdr:y>0.91945</cdr:y>
    </cdr:from>
    <cdr:to>
      <cdr:x>0.85659</cdr:x>
      <cdr:y>0.99668</cdr:y>
    </cdr:to>
    <cdr:sp macro="" textlink="BkName">
      <cdr:nvSpPr>
        <cdr:cNvPr id="2" name="TextBox 1">
          <a:extLst xmlns:a="http://schemas.openxmlformats.org/drawingml/2006/main">
            <a:ext uri="{FF2B5EF4-FFF2-40B4-BE49-F238E27FC236}">
              <a16:creationId xmlns:a16="http://schemas.microsoft.com/office/drawing/2014/main" xmlns="" id="{B0F47B5D-2500-447F-9A58-23105FA61B28}"/>
            </a:ext>
          </a:extLst>
        </cdr:cNvPr>
        <cdr:cNvSpPr txBox="1"/>
      </cdr:nvSpPr>
      <cdr:spPr>
        <a:xfrm xmlns:a="http://schemas.openxmlformats.org/drawingml/2006/main">
          <a:off x="963841" y="2590230"/>
          <a:ext cx="2051448" cy="21756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indent="0" algn="r"/>
          <a:fld id="{38599BBC-4688-477B-9288-83195B617273}" type="TxLink">
            <a:rPr lang="en-US" sz="800" b="0" i="0" u="none" strike="noStrike">
              <a:solidFill>
                <a:schemeClr val="bg1">
                  <a:lumMod val="50000"/>
                </a:schemeClr>
              </a:solidFill>
              <a:latin typeface="Calibri"/>
              <a:ea typeface="+mn-ea"/>
              <a:cs typeface="+mn-cs"/>
            </a:rPr>
            <a:pPr indent="0" algn="r"/>
            <a:t>HVDC Self IR Cover_v12_2publish.xlsm</a:t>
          </a:fld>
          <a:endParaRPr lang="en-NZ" sz="800">
            <a:solidFill>
              <a:schemeClr val="bg1">
                <a:lumMod val="50000"/>
              </a:schemeClr>
            </a:solidFill>
            <a:latin typeface="+mn-lt"/>
            <a:ea typeface="+mn-ea"/>
            <a:cs typeface="+mn-cs"/>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0.94965</cdr:y>
    </cdr:from>
    <cdr:to>
      <cdr:x>0.30597</cdr:x>
      <cdr:y>1</cdr:y>
    </cdr:to>
    <cdr:sp macro="" textlink="BkName">
      <cdr:nvSpPr>
        <cdr:cNvPr id="2" name="TextBox 1">
          <a:extLst xmlns:a="http://schemas.openxmlformats.org/drawingml/2006/main">
            <a:ext uri="{FF2B5EF4-FFF2-40B4-BE49-F238E27FC236}">
              <a16:creationId xmlns:a16="http://schemas.microsoft.com/office/drawing/2014/main" xmlns="" id="{46458F9E-56C4-4CA5-84E2-52D4F22FEACC}"/>
            </a:ext>
          </a:extLst>
        </cdr:cNvPr>
        <cdr:cNvSpPr txBox="1"/>
      </cdr:nvSpPr>
      <cdr:spPr>
        <a:xfrm xmlns:a="http://schemas.openxmlformats.org/drawingml/2006/main">
          <a:off x="0" y="3424336"/>
          <a:ext cx="1639677" cy="18155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indent="0" algn="l"/>
          <a:fld id="{BB02AE63-F7AB-4E35-A362-D3FD045BE8E9}" type="TxLink">
            <a:rPr lang="en-US" sz="800" b="0" i="0" u="none" strike="noStrike">
              <a:solidFill>
                <a:schemeClr val="bg1">
                  <a:lumMod val="50000"/>
                </a:schemeClr>
              </a:solidFill>
              <a:latin typeface="Calibri"/>
              <a:ea typeface="+mn-ea"/>
              <a:cs typeface="+mn-cs"/>
            </a:rPr>
            <a:pPr indent="0" algn="l"/>
            <a:t>HVDC Self IR Cover_v12_2publish.xlsm</a:t>
          </a:fld>
          <a:endParaRPr lang="en-NZ" sz="800">
            <a:solidFill>
              <a:schemeClr val="bg1">
                <a:lumMod val="50000"/>
              </a:schemeClr>
            </a:solidFill>
            <a:latin typeface="+mn-lt"/>
            <a:ea typeface="+mn-ea"/>
            <a:cs typeface="+mn-cs"/>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0.94965</cdr:y>
    </cdr:from>
    <cdr:to>
      <cdr:x>0.30597</cdr:x>
      <cdr:y>1</cdr:y>
    </cdr:to>
    <cdr:sp macro="" textlink="BkName">
      <cdr:nvSpPr>
        <cdr:cNvPr id="2" name="TextBox 1">
          <a:extLst xmlns:a="http://schemas.openxmlformats.org/drawingml/2006/main">
            <a:ext uri="{FF2B5EF4-FFF2-40B4-BE49-F238E27FC236}">
              <a16:creationId xmlns:a16="http://schemas.microsoft.com/office/drawing/2014/main" xmlns="" id="{6BD34B95-262D-4A49-87CE-3C6000607BEA}"/>
            </a:ext>
          </a:extLst>
        </cdr:cNvPr>
        <cdr:cNvSpPr txBox="1"/>
      </cdr:nvSpPr>
      <cdr:spPr>
        <a:xfrm xmlns:a="http://schemas.openxmlformats.org/drawingml/2006/main">
          <a:off x="0" y="3424336"/>
          <a:ext cx="1639677" cy="18155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indent="0" algn="l"/>
          <a:fld id="{BB02AE63-F7AB-4E35-A362-D3FD045BE8E9}" type="TxLink">
            <a:rPr lang="en-US" sz="800" b="0" i="0" u="none" strike="noStrike">
              <a:solidFill>
                <a:schemeClr val="bg1">
                  <a:lumMod val="50000"/>
                </a:schemeClr>
              </a:solidFill>
              <a:latin typeface="Calibri"/>
              <a:ea typeface="+mn-ea"/>
              <a:cs typeface="+mn-cs"/>
            </a:rPr>
            <a:pPr indent="0" algn="l"/>
            <a:t>HVDC Self IR Cover_v12_2publish.xlsm</a:t>
          </a:fld>
          <a:endParaRPr lang="en-NZ" sz="800">
            <a:solidFill>
              <a:schemeClr val="bg1">
                <a:lumMod val="50000"/>
              </a:schemeClr>
            </a:solidFill>
            <a:latin typeface="+mn-lt"/>
            <a:ea typeface="+mn-ea"/>
            <a:cs typeface="+mn-cs"/>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0.94965</cdr:y>
    </cdr:from>
    <cdr:to>
      <cdr:x>0.30597</cdr:x>
      <cdr:y>1</cdr:y>
    </cdr:to>
    <cdr:sp macro="" textlink="BkName">
      <cdr:nvSpPr>
        <cdr:cNvPr id="2" name="TextBox 1">
          <a:extLst xmlns:a="http://schemas.openxmlformats.org/drawingml/2006/main">
            <a:ext uri="{FF2B5EF4-FFF2-40B4-BE49-F238E27FC236}">
              <a16:creationId xmlns:a16="http://schemas.microsoft.com/office/drawing/2014/main" xmlns="" id="{5A06A3F3-07BF-4594-8D3F-875EC764BB0E}"/>
            </a:ext>
          </a:extLst>
        </cdr:cNvPr>
        <cdr:cNvSpPr txBox="1"/>
      </cdr:nvSpPr>
      <cdr:spPr>
        <a:xfrm xmlns:a="http://schemas.openxmlformats.org/drawingml/2006/main">
          <a:off x="0" y="3424336"/>
          <a:ext cx="1639677" cy="18155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indent="0" algn="l"/>
          <a:fld id="{BB02AE63-F7AB-4E35-A362-D3FD045BE8E9}" type="TxLink">
            <a:rPr lang="en-US" sz="800" b="0" i="0" u="none" strike="noStrike">
              <a:solidFill>
                <a:schemeClr val="bg1">
                  <a:lumMod val="50000"/>
                </a:schemeClr>
              </a:solidFill>
              <a:latin typeface="Calibri"/>
              <a:ea typeface="+mn-ea"/>
              <a:cs typeface="+mn-cs"/>
            </a:rPr>
            <a:pPr indent="0" algn="l"/>
            <a:t>HVDC Self IR Cover_v12_2publish.xlsm</a:t>
          </a:fld>
          <a:endParaRPr lang="en-NZ" sz="800">
            <a:solidFill>
              <a:schemeClr val="bg1">
                <a:lumMod val="50000"/>
              </a:schemeClr>
            </a:solidFill>
            <a:latin typeface="+mn-lt"/>
            <a:ea typeface="+mn-ea"/>
            <a:cs typeface="+mn-cs"/>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0.94965</cdr:y>
    </cdr:from>
    <cdr:to>
      <cdr:x>0.30597</cdr:x>
      <cdr:y>1</cdr:y>
    </cdr:to>
    <cdr:sp macro="" textlink="BkName">
      <cdr:nvSpPr>
        <cdr:cNvPr id="2" name="TextBox 1">
          <a:extLst xmlns:a="http://schemas.openxmlformats.org/drawingml/2006/main">
            <a:ext uri="{FF2B5EF4-FFF2-40B4-BE49-F238E27FC236}">
              <a16:creationId xmlns:a16="http://schemas.microsoft.com/office/drawing/2014/main" xmlns="" id="{324D6C63-92BF-4C73-A648-31F01547B873}"/>
            </a:ext>
          </a:extLst>
        </cdr:cNvPr>
        <cdr:cNvSpPr txBox="1"/>
      </cdr:nvSpPr>
      <cdr:spPr>
        <a:xfrm xmlns:a="http://schemas.openxmlformats.org/drawingml/2006/main">
          <a:off x="0" y="3424336"/>
          <a:ext cx="1639677" cy="18155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indent="0" algn="l"/>
          <a:fld id="{BB02AE63-F7AB-4E35-A362-D3FD045BE8E9}" type="TxLink">
            <a:rPr lang="en-US" sz="800" b="0" i="0" u="none" strike="noStrike">
              <a:solidFill>
                <a:schemeClr val="bg1">
                  <a:lumMod val="50000"/>
                </a:schemeClr>
              </a:solidFill>
              <a:latin typeface="Calibri"/>
              <a:ea typeface="+mn-ea"/>
              <a:cs typeface="+mn-cs"/>
            </a:rPr>
            <a:pPr indent="0" algn="l"/>
            <a:t>HVDC Self IR Cover_v12_2publish.xlsm</a:t>
          </a:fld>
          <a:endParaRPr lang="en-NZ" sz="800">
            <a:solidFill>
              <a:schemeClr val="bg1">
                <a:lumMod val="50000"/>
              </a:schemeClr>
            </a:solidFill>
            <a:latin typeface="+mn-lt"/>
            <a:ea typeface="+mn-ea"/>
            <a:cs typeface="+mn-cs"/>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0.94965</cdr:y>
    </cdr:from>
    <cdr:to>
      <cdr:x>0.30597</cdr:x>
      <cdr:y>1</cdr:y>
    </cdr:to>
    <cdr:sp macro="" textlink="BkName">
      <cdr:nvSpPr>
        <cdr:cNvPr id="2" name="TextBox 1">
          <a:extLst xmlns:a="http://schemas.openxmlformats.org/drawingml/2006/main">
            <a:ext uri="{FF2B5EF4-FFF2-40B4-BE49-F238E27FC236}">
              <a16:creationId xmlns:a16="http://schemas.microsoft.com/office/drawing/2014/main" xmlns="" id="{3D857BA4-B58F-44F8-941A-F3B3659ACED4}"/>
            </a:ext>
          </a:extLst>
        </cdr:cNvPr>
        <cdr:cNvSpPr txBox="1"/>
      </cdr:nvSpPr>
      <cdr:spPr>
        <a:xfrm xmlns:a="http://schemas.openxmlformats.org/drawingml/2006/main">
          <a:off x="0" y="3424336"/>
          <a:ext cx="1639677" cy="18155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indent="0" algn="l"/>
          <a:fld id="{BB02AE63-F7AB-4E35-A362-D3FD045BE8E9}" type="TxLink">
            <a:rPr lang="en-US" sz="800" b="0" i="0" u="none" strike="noStrike">
              <a:solidFill>
                <a:schemeClr val="bg1">
                  <a:lumMod val="50000"/>
                </a:schemeClr>
              </a:solidFill>
              <a:latin typeface="Calibri"/>
              <a:ea typeface="+mn-ea"/>
              <a:cs typeface="+mn-cs"/>
            </a:rPr>
            <a:pPr indent="0" algn="l"/>
            <a:t>HVDC Self IR Cover_v12_2publish.xlsm</a:t>
          </a:fld>
          <a:endParaRPr lang="en-NZ" sz="800">
            <a:solidFill>
              <a:schemeClr val="bg1">
                <a:lumMod val="50000"/>
              </a:schemeClr>
            </a:solidFill>
            <a:latin typeface="+mn-lt"/>
            <a:ea typeface="+mn-ea"/>
            <a:cs typeface="+mn-cs"/>
          </a:endParaRP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Q17"/>
  <sheetViews>
    <sheetView tabSelected="1" workbookViewId="0">
      <selection activeCell="A31" sqref="A31"/>
    </sheetView>
  </sheetViews>
  <sheetFormatPr defaultRowHeight="15" x14ac:dyDescent="0.25"/>
  <cols>
    <col min="1" max="1" width="50.5703125" customWidth="1"/>
  </cols>
  <sheetData>
    <row r="2" spans="2:17" ht="14.45" x14ac:dyDescent="0.35">
      <c r="B2" t="s">
        <v>123</v>
      </c>
      <c r="D2" s="21">
        <v>0</v>
      </c>
      <c r="E2" s="7">
        <f>D2*(1-D$4)</f>
        <v>0</v>
      </c>
      <c r="F2" s="25" t="s">
        <v>90</v>
      </c>
    </row>
    <row r="3" spans="2:17" ht="14.45" x14ac:dyDescent="0.35">
      <c r="B3" t="s">
        <v>124</v>
      </c>
      <c r="D3" s="29">
        <v>60</v>
      </c>
      <c r="L3" t="s">
        <v>23</v>
      </c>
      <c r="M3" t="s">
        <v>24</v>
      </c>
      <c r="N3" t="s">
        <v>20</v>
      </c>
      <c r="O3" t="s">
        <v>21</v>
      </c>
      <c r="P3" t="s">
        <v>22</v>
      </c>
    </row>
    <row r="4" spans="2:17" ht="14.45" x14ac:dyDescent="0.35">
      <c r="B4" t="s">
        <v>15</v>
      </c>
      <c r="D4" s="24">
        <f>1-528/560</f>
        <v>5.7142857142857162E-2</v>
      </c>
      <c r="K4" t="s">
        <v>19</v>
      </c>
      <c r="L4" s="1">
        <v>0.3</v>
      </c>
      <c r="M4" s="16">
        <f>N4+O4</f>
        <v>630</v>
      </c>
      <c r="N4" s="19">
        <v>400</v>
      </c>
      <c r="O4" s="1">
        <v>230</v>
      </c>
      <c r="P4" s="1">
        <v>50</v>
      </c>
      <c r="Q4" s="1"/>
    </row>
    <row r="6" spans="2:17" ht="14.45" x14ac:dyDescent="0.35">
      <c r="D6" t="s">
        <v>16</v>
      </c>
      <c r="E6" t="s">
        <v>18</v>
      </c>
    </row>
    <row r="7" spans="2:17" ht="14.45" x14ac:dyDescent="0.35">
      <c r="B7" t="s">
        <v>13</v>
      </c>
      <c r="D7" s="30">
        <f>500+Extra_DC</f>
        <v>500</v>
      </c>
      <c r="E7">
        <f>D7*(1-D$4)</f>
        <v>471.42857142857144</v>
      </c>
      <c r="K7" t="s">
        <v>11</v>
      </c>
      <c r="L7" s="21">
        <v>4500</v>
      </c>
    </row>
    <row r="8" spans="2:17" ht="14.45" x14ac:dyDescent="0.35">
      <c r="B8" t="s">
        <v>14</v>
      </c>
      <c r="D8" s="8">
        <v>700</v>
      </c>
      <c r="E8">
        <f>D8*(1-D$4)</f>
        <v>660</v>
      </c>
      <c r="K8" t="s">
        <v>25</v>
      </c>
      <c r="L8">
        <f>$L$4*L7+$M$4+$P$4</f>
        <v>2030</v>
      </c>
    </row>
    <row r="9" spans="2:17" ht="14.45" x14ac:dyDescent="0.35">
      <c r="B9" t="s">
        <v>17</v>
      </c>
      <c r="D9" s="15">
        <f>SUM(D7:D8)</f>
        <v>1200</v>
      </c>
      <c r="E9" s="7">
        <f>D9*(1-D$4)</f>
        <v>1131.4285714285713</v>
      </c>
      <c r="K9" t="s">
        <v>28</v>
      </c>
      <c r="L9" s="23">
        <f>Misc!$E$45</f>
        <v>3339</v>
      </c>
    </row>
    <row r="10" spans="2:17" ht="14.45" x14ac:dyDescent="0.35">
      <c r="B10" s="10" t="s">
        <v>2</v>
      </c>
      <c r="D10" s="13"/>
      <c r="K10" t="s">
        <v>29</v>
      </c>
      <c r="L10" s="18">
        <f>L$9-L$8-ModulationRisk</f>
        <v>1279</v>
      </c>
    </row>
    <row r="11" spans="2:17" ht="14.45" x14ac:dyDescent="0.35">
      <c r="B11" t="s">
        <v>68</v>
      </c>
      <c r="C11" s="10"/>
      <c r="D11" s="19">
        <v>220</v>
      </c>
      <c r="K11" t="s">
        <v>55</v>
      </c>
      <c r="L11" s="7">
        <f>L10*(1-$D$4)</f>
        <v>1205.9142857142856</v>
      </c>
    </row>
    <row r="12" spans="2:17" ht="14.45" x14ac:dyDescent="0.35">
      <c r="B12" s="12" t="s">
        <v>125</v>
      </c>
      <c r="C12" s="12"/>
      <c r="D12" s="31">
        <f>(MIN(D7:D8)+$D$3)*(1-D4)</f>
        <v>528</v>
      </c>
      <c r="K12" t="s">
        <v>56</v>
      </c>
      <c r="L12" s="20">
        <f>MIN(E9,L11)</f>
        <v>1131.4285714285713</v>
      </c>
    </row>
    <row r="13" spans="2:17" ht="14.45" x14ac:dyDescent="0.35">
      <c r="B13" s="11" t="s">
        <v>7</v>
      </c>
      <c r="C13" s="11"/>
      <c r="D13" s="19">
        <v>30</v>
      </c>
    </row>
    <row r="14" spans="2:17" thickBot="1" x14ac:dyDescent="0.4">
      <c r="B14" s="12" t="s">
        <v>9</v>
      </c>
      <c r="C14" s="12"/>
      <c r="D14" s="5">
        <f>D12-D13</f>
        <v>498</v>
      </c>
      <c r="L14" t="s">
        <v>92</v>
      </c>
      <c r="M14" t="s">
        <v>93</v>
      </c>
      <c r="P14" s="7"/>
    </row>
    <row r="15" spans="2:17" thickBot="1" x14ac:dyDescent="0.4">
      <c r="B15" s="12" t="s">
        <v>1</v>
      </c>
      <c r="C15" s="12"/>
      <c r="D15" s="19">
        <v>400</v>
      </c>
      <c r="K15" t="s">
        <v>91</v>
      </c>
      <c r="L15" s="26">
        <f t="array" ref="L15">MIN(IF(ISNA(Calc!$O$4:$O$284)=FALSE,Calc!$O$4:$O$284))</f>
        <v>3982</v>
      </c>
      <c r="M15" s="27">
        <f>NI_demand+AC_CE-NI_IL</f>
        <v>4880</v>
      </c>
    </row>
    <row r="16" spans="2:17" ht="14.45" x14ac:dyDescent="0.35">
      <c r="B16" s="12" t="s">
        <v>64</v>
      </c>
      <c r="D16" s="19">
        <v>20</v>
      </c>
      <c r="M16" s="9">
        <f>M15-L15</f>
        <v>898</v>
      </c>
    </row>
    <row r="17" spans="1:4" ht="14.45" x14ac:dyDescent="0.35">
      <c r="A17" s="3"/>
      <c r="D17" s="6"/>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D300"/>
  <sheetViews>
    <sheetView zoomScale="85" zoomScaleNormal="85" workbookViewId="0">
      <pane ySplit="3" topLeftCell="A136" activePane="bottomLeft" state="frozen"/>
      <selection pane="bottomLeft" activeCell="O164" sqref="O164"/>
    </sheetView>
  </sheetViews>
  <sheetFormatPr defaultRowHeight="15" x14ac:dyDescent="0.25"/>
  <cols>
    <col min="2" max="2" width="21.85546875" customWidth="1"/>
    <col min="17" max="17" width="9.140625" bestFit="1" customWidth="1"/>
  </cols>
  <sheetData>
    <row r="1" spans="1:66" ht="14.45" x14ac:dyDescent="0.35">
      <c r="A1" s="28" t="s">
        <v>118</v>
      </c>
      <c r="B1" s="28"/>
      <c r="C1" s="28"/>
      <c r="D1" s="28"/>
      <c r="E1" s="28"/>
      <c r="F1" s="28"/>
      <c r="G1" s="28"/>
      <c r="H1" s="28"/>
      <c r="I1" s="28"/>
      <c r="J1" s="28"/>
      <c r="K1" s="28"/>
      <c r="L1" s="28"/>
      <c r="M1" s="28"/>
      <c r="N1" s="28"/>
      <c r="O1" s="28"/>
      <c r="P1" s="28"/>
    </row>
    <row r="2" spans="1:66" ht="29.1" x14ac:dyDescent="0.35">
      <c r="B2" s="3" t="s">
        <v>8</v>
      </c>
      <c r="E2" t="s">
        <v>31</v>
      </c>
      <c r="F2" t="s">
        <v>31</v>
      </c>
      <c r="L2" t="s">
        <v>31</v>
      </c>
      <c r="M2" t="s">
        <v>31</v>
      </c>
      <c r="O2" t="s">
        <v>31</v>
      </c>
      <c r="R2" t="s">
        <v>163</v>
      </c>
      <c r="AB2" t="s">
        <v>120</v>
      </c>
    </row>
    <row r="3" spans="1:66" ht="174" x14ac:dyDescent="0.35">
      <c r="A3" t="s">
        <v>30</v>
      </c>
      <c r="B3" s="3"/>
      <c r="C3" s="3" t="s">
        <v>12</v>
      </c>
      <c r="D3" s="57" t="s">
        <v>243</v>
      </c>
      <c r="E3" s="57" t="s">
        <v>239</v>
      </c>
      <c r="F3" s="57" t="s">
        <v>240</v>
      </c>
      <c r="G3" s="57" t="s">
        <v>238</v>
      </c>
      <c r="H3" s="3" t="s">
        <v>64</v>
      </c>
      <c r="I3" s="3" t="s">
        <v>65</v>
      </c>
      <c r="J3" s="3" t="s">
        <v>10</v>
      </c>
      <c r="K3" s="3"/>
      <c r="L3" s="3" t="s">
        <v>66</v>
      </c>
      <c r="M3" s="3" t="s">
        <v>67</v>
      </c>
      <c r="N3" s="3" t="s">
        <v>57</v>
      </c>
      <c r="O3" s="3" t="s">
        <v>32</v>
      </c>
      <c r="P3" s="3"/>
      <c r="Q3" s="3"/>
      <c r="R3" s="3"/>
      <c r="S3" s="3" t="str">
        <f>G3</f>
        <v>Risk from largest NI gen. (NI AC CE)</v>
      </c>
      <c r="T3" s="3" t="str">
        <f>D3</f>
        <v>Max possible SI IR which can be transferred across DC to meet NI AC CE</v>
      </c>
      <c r="U3" s="3" t="str">
        <f>F3</f>
        <v>Min NI IR required to meet NI AC CE (AC risk minus max. possible IR transfer across DC)</v>
      </c>
      <c r="V3" s="3" t="str">
        <f>E3</f>
        <v>Risk from HVDC (NI DC CE)</v>
      </c>
      <c r="W3" s="3" t="s">
        <v>241</v>
      </c>
      <c r="X3" s="3" t="s">
        <v>242</v>
      </c>
      <c r="Y3" s="3"/>
      <c r="Z3" s="3"/>
      <c r="AA3" s="3" t="s">
        <v>162</v>
      </c>
      <c r="AB3" s="3" t="str">
        <f>AB$289</f>
        <v>Huntly - e3p</v>
      </c>
      <c r="AC3" s="3" t="str">
        <f t="shared" ref="AC3:AN3" si="0">AC$289</f>
        <v>TCC</v>
      </c>
      <c r="AD3" s="3" t="str">
        <f t="shared" si="0"/>
        <v>Huntly units 1-4</v>
      </c>
      <c r="AE3" s="3" t="str">
        <f t="shared" si="0"/>
        <v>Stratford</v>
      </c>
      <c r="AF3" s="3" t="str">
        <f t="shared" si="0"/>
        <v>Glenbrook</v>
      </c>
      <c r="AG3" s="3" t="str">
        <f t="shared" si="0"/>
        <v>Rotokawa</v>
      </c>
      <c r="AH3" s="3" t="str">
        <f t="shared" si="0"/>
        <v>Kawerau</v>
      </c>
      <c r="AI3" s="3" t="str">
        <f t="shared" si="0"/>
        <v>Te Mihi</v>
      </c>
      <c r="AJ3" s="3" t="str">
        <f t="shared" si="0"/>
        <v>Manapouri</v>
      </c>
      <c r="AK3" s="3" t="str">
        <f t="shared" si="0"/>
        <v>Clutha -Clyde</v>
      </c>
      <c r="AL3" s="3" t="str">
        <f t="shared" si="0"/>
        <v>Waitaki - Benmore</v>
      </c>
      <c r="AM3" s="3" t="str">
        <f t="shared" si="0"/>
        <v>Waitaki - Pukaki</v>
      </c>
      <c r="AN3" s="3" t="str">
        <f t="shared" si="0"/>
        <v>Waitaki - Ohau</v>
      </c>
      <c r="AO3" s="3"/>
      <c r="AP3" s="3"/>
      <c r="AQ3" s="3"/>
      <c r="AR3" s="3"/>
      <c r="AS3" s="3"/>
      <c r="AT3" s="3"/>
      <c r="AU3" s="3"/>
      <c r="AV3" s="3"/>
      <c r="AW3" s="3"/>
      <c r="AX3" s="3"/>
      <c r="AY3" s="3"/>
      <c r="AZ3" s="3"/>
      <c r="BA3" s="3"/>
      <c r="BB3" s="3"/>
      <c r="BC3" s="3"/>
      <c r="BD3" s="3"/>
      <c r="BE3" s="3"/>
      <c r="BF3" s="3"/>
      <c r="BG3" s="3"/>
      <c r="BH3" s="3"/>
      <c r="BI3" s="3"/>
      <c r="BJ3" s="3"/>
      <c r="BK3" s="3"/>
      <c r="BL3" s="3"/>
      <c r="BM3" s="3"/>
      <c r="BN3" s="3"/>
    </row>
    <row r="4" spans="1:66" ht="14.45" x14ac:dyDescent="0.35">
      <c r="A4" s="7">
        <f>B4/(1-Assump!$D$4)</f>
        <v>0</v>
      </c>
      <c r="B4" s="1">
        <v>0</v>
      </c>
      <c r="C4" s="9">
        <f t="shared" ref="C4:C67" si="1">MIN(HVDC_IR_transfer_cap,HVDC_Received_Max-B4-ModulationRisk)</f>
        <v>220</v>
      </c>
      <c r="D4">
        <f t="shared" ref="D4:D67" si="2">IF($B4&lt;HVDC_Received_Max,MAX(0,MIN(AC_CE,C4)),NA())</f>
        <v>220</v>
      </c>
      <c r="E4">
        <f t="shared" ref="E4:E67" si="3">IF($B4&lt;HVDC_Received_Max,B4-Pole2_limit+ModulationRisk,NA())</f>
        <v>-498</v>
      </c>
      <c r="F4">
        <f t="shared" ref="F4:F67" si="4">IF($B4&lt;HVDC_Received_Max,MAX(0,MIN(AC_CE,AC_CE-C4)),NA())</f>
        <v>180</v>
      </c>
      <c r="G4">
        <f t="shared" ref="G4:G67" si="5">IF($B4&lt;HVDC_Received_Max,AC_CE,NA())</f>
        <v>400</v>
      </c>
      <c r="H4">
        <f t="shared" ref="H4:H67" si="6">IF($B4&lt;HVDC_Received_Max,NI_IL,NA())</f>
        <v>20</v>
      </c>
      <c r="I4">
        <f>MAX(0,MAX(E4,F4)-H4)</f>
        <v>160</v>
      </c>
      <c r="L4">
        <f t="shared" ref="L4:L67" si="7">IF($B4&lt;HVDC_Received_Max,NI_demand-$B4,NA())</f>
        <v>4500</v>
      </c>
      <c r="M4">
        <f t="shared" ref="M4:M67" si="8">IF($B4&lt;HVDC_Received_Max,I4,NA())</f>
        <v>160</v>
      </c>
      <c r="N4" s="9" t="e">
        <f>IF(OR($B4&gt;Assump!$E$9,$B4&lt;HVDC_Received_Max),NA(),NI_demand*2)</f>
        <v>#N/A</v>
      </c>
      <c r="O4">
        <f t="shared" ref="O4:O67" si="9">SUM(L4:M4)</f>
        <v>4660</v>
      </c>
      <c r="R4">
        <f>B4</f>
        <v>0</v>
      </c>
      <c r="S4" s="3">
        <f>G4</f>
        <v>400</v>
      </c>
      <c r="T4">
        <f>D4</f>
        <v>220</v>
      </c>
      <c r="U4">
        <f>F4</f>
        <v>180</v>
      </c>
      <c r="V4">
        <f>E4</f>
        <v>-498</v>
      </c>
      <c r="W4">
        <f>MAX(U4:V4)</f>
        <v>180</v>
      </c>
      <c r="X4">
        <f>MAX(S4,V4)</f>
        <v>400</v>
      </c>
    </row>
    <row r="5" spans="1:66" ht="14.45" x14ac:dyDescent="0.35">
      <c r="A5" s="7">
        <f>B5/(1-Assump!$D$4)</f>
        <v>5.3030303030303028</v>
      </c>
      <c r="B5" s="1">
        <v>5</v>
      </c>
      <c r="C5" s="9">
        <f t="shared" si="1"/>
        <v>220</v>
      </c>
      <c r="D5">
        <f t="shared" si="2"/>
        <v>220</v>
      </c>
      <c r="E5">
        <f t="shared" si="3"/>
        <v>-493</v>
      </c>
      <c r="F5">
        <f t="shared" si="4"/>
        <v>180</v>
      </c>
      <c r="G5">
        <f t="shared" si="5"/>
        <v>400</v>
      </c>
      <c r="H5">
        <f t="shared" si="6"/>
        <v>20</v>
      </c>
      <c r="I5">
        <f t="shared" ref="I5:I68" si="10">MAX(0,MAX(E5,F5)-H5)</f>
        <v>160</v>
      </c>
      <c r="J5">
        <f>I5-I4</f>
        <v>0</v>
      </c>
      <c r="L5">
        <f t="shared" si="7"/>
        <v>4495</v>
      </c>
      <c r="M5">
        <f t="shared" si="8"/>
        <v>160</v>
      </c>
      <c r="N5" s="9" t="e">
        <f>IF(OR($B5&gt;Assump!$E$9,$B5&lt;HVDC_Received_Max),NA(),NI_demand*2)</f>
        <v>#N/A</v>
      </c>
      <c r="O5">
        <f t="shared" si="9"/>
        <v>4655</v>
      </c>
      <c r="R5">
        <f t="shared" ref="R5:R68" si="11">B5</f>
        <v>5</v>
      </c>
      <c r="S5" s="3">
        <f t="shared" ref="S5:S68" si="12">G5</f>
        <v>400</v>
      </c>
      <c r="T5">
        <f t="shared" ref="T5:T68" si="13">D5</f>
        <v>220</v>
      </c>
      <c r="U5">
        <f t="shared" ref="U5:U68" si="14">F5</f>
        <v>180</v>
      </c>
      <c r="V5">
        <f t="shared" ref="V5:V68" si="15">E5</f>
        <v>-493</v>
      </c>
      <c r="W5">
        <f t="shared" ref="W5:W68" si="16">MAX(U5:V5)</f>
        <v>180</v>
      </c>
      <c r="X5">
        <f t="shared" ref="X5:X68" si="17">MAX(S5,V5)</f>
        <v>400</v>
      </c>
    </row>
    <row r="6" spans="1:66" ht="14.45" x14ac:dyDescent="0.35">
      <c r="A6" s="7">
        <f>B6/(1-Assump!$D$4)</f>
        <v>10.606060606060606</v>
      </c>
      <c r="B6" s="1">
        <v>10</v>
      </c>
      <c r="C6" s="9">
        <f t="shared" si="1"/>
        <v>220</v>
      </c>
      <c r="D6">
        <f t="shared" si="2"/>
        <v>220</v>
      </c>
      <c r="E6">
        <f t="shared" si="3"/>
        <v>-488</v>
      </c>
      <c r="F6">
        <f t="shared" si="4"/>
        <v>180</v>
      </c>
      <c r="G6">
        <f t="shared" si="5"/>
        <v>400</v>
      </c>
      <c r="H6">
        <f t="shared" si="6"/>
        <v>20</v>
      </c>
      <c r="I6">
        <f t="shared" si="10"/>
        <v>160</v>
      </c>
      <c r="J6">
        <f t="shared" ref="J6:J32" si="18">I6-I5</f>
        <v>0</v>
      </c>
      <c r="L6">
        <f t="shared" si="7"/>
        <v>4490</v>
      </c>
      <c r="M6">
        <f t="shared" si="8"/>
        <v>160</v>
      </c>
      <c r="N6" s="9" t="e">
        <f>IF(OR($B6&gt;Assump!$E$9,$B6&lt;HVDC_Received_Max),NA(),NI_demand*2)</f>
        <v>#N/A</v>
      </c>
      <c r="O6">
        <f t="shared" si="9"/>
        <v>4650</v>
      </c>
      <c r="R6">
        <f t="shared" si="11"/>
        <v>10</v>
      </c>
      <c r="S6" s="3">
        <f t="shared" si="12"/>
        <v>400</v>
      </c>
      <c r="T6">
        <f t="shared" si="13"/>
        <v>220</v>
      </c>
      <c r="U6">
        <f t="shared" si="14"/>
        <v>180</v>
      </c>
      <c r="V6">
        <f t="shared" si="15"/>
        <v>-488</v>
      </c>
      <c r="W6">
        <f t="shared" si="16"/>
        <v>180</v>
      </c>
      <c r="X6">
        <f t="shared" si="17"/>
        <v>400</v>
      </c>
    </row>
    <row r="7" spans="1:66" ht="14.45" x14ac:dyDescent="0.35">
      <c r="A7" s="7">
        <f>B7/(1-Assump!$D$4)</f>
        <v>15.90909090909091</v>
      </c>
      <c r="B7" s="1">
        <v>15</v>
      </c>
      <c r="C7" s="9">
        <f t="shared" si="1"/>
        <v>220</v>
      </c>
      <c r="D7">
        <f t="shared" si="2"/>
        <v>220</v>
      </c>
      <c r="E7">
        <f t="shared" si="3"/>
        <v>-483</v>
      </c>
      <c r="F7">
        <f t="shared" si="4"/>
        <v>180</v>
      </c>
      <c r="G7">
        <f t="shared" si="5"/>
        <v>400</v>
      </c>
      <c r="H7">
        <f t="shared" si="6"/>
        <v>20</v>
      </c>
      <c r="I7">
        <f t="shared" si="10"/>
        <v>160</v>
      </c>
      <c r="J7">
        <f t="shared" si="18"/>
        <v>0</v>
      </c>
      <c r="L7">
        <f t="shared" si="7"/>
        <v>4485</v>
      </c>
      <c r="M7">
        <f t="shared" si="8"/>
        <v>160</v>
      </c>
      <c r="N7" s="9" t="e">
        <f>IF(OR($B7&gt;Assump!$E$9,$B7&lt;HVDC_Received_Max),NA(),NI_demand*2)</f>
        <v>#N/A</v>
      </c>
      <c r="O7">
        <f t="shared" si="9"/>
        <v>4645</v>
      </c>
      <c r="R7">
        <f t="shared" si="11"/>
        <v>15</v>
      </c>
      <c r="S7" s="3">
        <f t="shared" si="12"/>
        <v>400</v>
      </c>
      <c r="T7">
        <f t="shared" si="13"/>
        <v>220</v>
      </c>
      <c r="U7">
        <f t="shared" si="14"/>
        <v>180</v>
      </c>
      <c r="V7">
        <f t="shared" si="15"/>
        <v>-483</v>
      </c>
      <c r="W7">
        <f t="shared" si="16"/>
        <v>180</v>
      </c>
      <c r="X7">
        <f t="shared" si="17"/>
        <v>400</v>
      </c>
      <c r="AY7" s="1"/>
      <c r="AZ7" s="1"/>
      <c r="BA7" s="1"/>
      <c r="BB7" s="1"/>
      <c r="BC7" s="1"/>
      <c r="BD7" s="1"/>
      <c r="BE7" s="1"/>
      <c r="BF7" s="1"/>
      <c r="BG7" s="1"/>
      <c r="BH7" s="1"/>
      <c r="BI7" s="1"/>
      <c r="BJ7" s="1"/>
      <c r="BK7" s="1"/>
      <c r="BL7" s="1"/>
    </row>
    <row r="8" spans="1:66" ht="14.45" x14ac:dyDescent="0.35">
      <c r="A8" s="7">
        <f>B8/(1-Assump!$D$4)</f>
        <v>21.212121212121211</v>
      </c>
      <c r="B8" s="1">
        <v>20</v>
      </c>
      <c r="C8" s="9">
        <f t="shared" si="1"/>
        <v>220</v>
      </c>
      <c r="D8">
        <f t="shared" si="2"/>
        <v>220</v>
      </c>
      <c r="E8">
        <f t="shared" si="3"/>
        <v>-478</v>
      </c>
      <c r="F8">
        <f t="shared" si="4"/>
        <v>180</v>
      </c>
      <c r="G8">
        <f t="shared" si="5"/>
        <v>400</v>
      </c>
      <c r="H8">
        <f t="shared" si="6"/>
        <v>20</v>
      </c>
      <c r="I8">
        <f t="shared" si="10"/>
        <v>160</v>
      </c>
      <c r="J8">
        <f t="shared" si="18"/>
        <v>0</v>
      </c>
      <c r="L8">
        <f t="shared" si="7"/>
        <v>4480</v>
      </c>
      <c r="M8">
        <f t="shared" si="8"/>
        <v>160</v>
      </c>
      <c r="N8" s="9" t="e">
        <f>IF(OR($B8&gt;Assump!$E$9,$B8&lt;HVDC_Received_Max),NA(),NI_demand*2)</f>
        <v>#N/A</v>
      </c>
      <c r="O8">
        <f t="shared" si="9"/>
        <v>4640</v>
      </c>
      <c r="R8">
        <f t="shared" si="11"/>
        <v>20</v>
      </c>
      <c r="S8" s="3">
        <f t="shared" si="12"/>
        <v>400</v>
      </c>
      <c r="T8">
        <f t="shared" si="13"/>
        <v>220</v>
      </c>
      <c r="U8">
        <f t="shared" si="14"/>
        <v>180</v>
      </c>
      <c r="V8">
        <f t="shared" si="15"/>
        <v>-478</v>
      </c>
      <c r="W8">
        <f t="shared" si="16"/>
        <v>180</v>
      </c>
      <c r="X8">
        <f t="shared" si="17"/>
        <v>400</v>
      </c>
    </row>
    <row r="9" spans="1:66" ht="14.45" x14ac:dyDescent="0.35">
      <c r="A9" s="7">
        <f>B9/(1-Assump!$D$4)</f>
        <v>26.515151515151516</v>
      </c>
      <c r="B9" s="1">
        <v>25</v>
      </c>
      <c r="C9" s="9">
        <f t="shared" si="1"/>
        <v>220</v>
      </c>
      <c r="D9">
        <f t="shared" si="2"/>
        <v>220</v>
      </c>
      <c r="E9">
        <f t="shared" si="3"/>
        <v>-473</v>
      </c>
      <c r="F9">
        <f t="shared" si="4"/>
        <v>180</v>
      </c>
      <c r="G9">
        <f t="shared" si="5"/>
        <v>400</v>
      </c>
      <c r="H9">
        <f t="shared" si="6"/>
        <v>20</v>
      </c>
      <c r="I9">
        <f t="shared" si="10"/>
        <v>160</v>
      </c>
      <c r="J9">
        <f t="shared" si="18"/>
        <v>0</v>
      </c>
      <c r="L9">
        <f t="shared" si="7"/>
        <v>4475</v>
      </c>
      <c r="M9">
        <f t="shared" si="8"/>
        <v>160</v>
      </c>
      <c r="N9" s="9" t="e">
        <f>IF(OR($B9&gt;Assump!$E$9,$B9&lt;HVDC_Received_Max),NA(),NI_demand*2)</f>
        <v>#N/A</v>
      </c>
      <c r="O9">
        <f t="shared" si="9"/>
        <v>4635</v>
      </c>
      <c r="R9">
        <f t="shared" si="11"/>
        <v>25</v>
      </c>
      <c r="S9" s="3">
        <f t="shared" si="12"/>
        <v>400</v>
      </c>
      <c r="T9">
        <f t="shared" si="13"/>
        <v>220</v>
      </c>
      <c r="U9">
        <f t="shared" si="14"/>
        <v>180</v>
      </c>
      <c r="V9">
        <f t="shared" si="15"/>
        <v>-473</v>
      </c>
      <c r="W9">
        <f t="shared" si="16"/>
        <v>180</v>
      </c>
      <c r="X9">
        <f t="shared" si="17"/>
        <v>400</v>
      </c>
    </row>
    <row r="10" spans="1:66" ht="14.45" x14ac:dyDescent="0.35">
      <c r="A10" s="7">
        <f>B10/(1-Assump!$D$4)</f>
        <v>31.81818181818182</v>
      </c>
      <c r="B10" s="1">
        <v>30</v>
      </c>
      <c r="C10" s="9">
        <f t="shared" si="1"/>
        <v>220</v>
      </c>
      <c r="D10">
        <f t="shared" si="2"/>
        <v>220</v>
      </c>
      <c r="E10">
        <f t="shared" si="3"/>
        <v>-468</v>
      </c>
      <c r="F10">
        <f t="shared" si="4"/>
        <v>180</v>
      </c>
      <c r="G10">
        <f t="shared" si="5"/>
        <v>400</v>
      </c>
      <c r="H10">
        <f t="shared" si="6"/>
        <v>20</v>
      </c>
      <c r="I10">
        <f t="shared" si="10"/>
        <v>160</v>
      </c>
      <c r="J10">
        <f t="shared" si="18"/>
        <v>0</v>
      </c>
      <c r="L10">
        <f t="shared" si="7"/>
        <v>4470</v>
      </c>
      <c r="M10">
        <f t="shared" si="8"/>
        <v>160</v>
      </c>
      <c r="N10" s="9" t="e">
        <f>IF(OR($B10&gt;Assump!$E$9,$B10&lt;HVDC_Received_Max),NA(),NI_demand*2)</f>
        <v>#N/A</v>
      </c>
      <c r="O10">
        <f t="shared" si="9"/>
        <v>4630</v>
      </c>
      <c r="R10">
        <f t="shared" si="11"/>
        <v>30</v>
      </c>
      <c r="S10" s="3">
        <f t="shared" si="12"/>
        <v>400</v>
      </c>
      <c r="T10">
        <f t="shared" si="13"/>
        <v>220</v>
      </c>
      <c r="U10">
        <f t="shared" si="14"/>
        <v>180</v>
      </c>
      <c r="V10">
        <f t="shared" si="15"/>
        <v>-468</v>
      </c>
      <c r="W10">
        <f t="shared" si="16"/>
        <v>180</v>
      </c>
      <c r="X10">
        <f t="shared" si="17"/>
        <v>400</v>
      </c>
    </row>
    <row r="11" spans="1:66" ht="14.45" x14ac:dyDescent="0.35">
      <c r="A11" s="7">
        <f>B11/(1-Assump!$D$4)</f>
        <v>37.121212121212125</v>
      </c>
      <c r="B11" s="1">
        <v>35</v>
      </c>
      <c r="C11" s="9">
        <f t="shared" si="1"/>
        <v>220</v>
      </c>
      <c r="D11">
        <f t="shared" si="2"/>
        <v>220</v>
      </c>
      <c r="E11">
        <f t="shared" si="3"/>
        <v>-463</v>
      </c>
      <c r="F11">
        <f t="shared" si="4"/>
        <v>180</v>
      </c>
      <c r="G11">
        <f t="shared" si="5"/>
        <v>400</v>
      </c>
      <c r="H11">
        <f t="shared" si="6"/>
        <v>20</v>
      </c>
      <c r="I11">
        <f t="shared" si="10"/>
        <v>160</v>
      </c>
      <c r="J11">
        <f t="shared" si="18"/>
        <v>0</v>
      </c>
      <c r="L11">
        <f t="shared" si="7"/>
        <v>4465</v>
      </c>
      <c r="M11">
        <f t="shared" si="8"/>
        <v>160</v>
      </c>
      <c r="N11" s="9" t="e">
        <f>IF(OR($B11&gt;Assump!$E$9,$B11&lt;HVDC_Received_Max),NA(),NI_demand*2)</f>
        <v>#N/A</v>
      </c>
      <c r="O11">
        <f t="shared" si="9"/>
        <v>4625</v>
      </c>
      <c r="R11">
        <f t="shared" si="11"/>
        <v>35</v>
      </c>
      <c r="S11" s="3">
        <f t="shared" si="12"/>
        <v>400</v>
      </c>
      <c r="T11">
        <f t="shared" si="13"/>
        <v>220</v>
      </c>
      <c r="U11">
        <f t="shared" si="14"/>
        <v>180</v>
      </c>
      <c r="V11">
        <f t="shared" si="15"/>
        <v>-463</v>
      </c>
      <c r="W11">
        <f t="shared" si="16"/>
        <v>180</v>
      </c>
      <c r="X11">
        <f t="shared" si="17"/>
        <v>400</v>
      </c>
    </row>
    <row r="12" spans="1:66" ht="14.45" x14ac:dyDescent="0.35">
      <c r="A12" s="7">
        <f>B12/(1-Assump!$D$4)</f>
        <v>42.424242424242422</v>
      </c>
      <c r="B12" s="1">
        <v>40</v>
      </c>
      <c r="C12" s="9">
        <f t="shared" si="1"/>
        <v>220</v>
      </c>
      <c r="D12">
        <f t="shared" si="2"/>
        <v>220</v>
      </c>
      <c r="E12">
        <f t="shared" si="3"/>
        <v>-458</v>
      </c>
      <c r="F12">
        <f t="shared" si="4"/>
        <v>180</v>
      </c>
      <c r="G12">
        <f t="shared" si="5"/>
        <v>400</v>
      </c>
      <c r="H12">
        <f t="shared" si="6"/>
        <v>20</v>
      </c>
      <c r="I12">
        <f t="shared" si="10"/>
        <v>160</v>
      </c>
      <c r="J12">
        <f t="shared" si="18"/>
        <v>0</v>
      </c>
      <c r="L12">
        <f t="shared" si="7"/>
        <v>4460</v>
      </c>
      <c r="M12">
        <f t="shared" si="8"/>
        <v>160</v>
      </c>
      <c r="N12" s="9" t="e">
        <f>IF(OR($B12&gt;Assump!$E$9,$B12&lt;HVDC_Received_Max),NA(),NI_demand*2)</f>
        <v>#N/A</v>
      </c>
      <c r="O12">
        <f t="shared" si="9"/>
        <v>4620</v>
      </c>
      <c r="R12">
        <f t="shared" si="11"/>
        <v>40</v>
      </c>
      <c r="S12" s="3">
        <f t="shared" si="12"/>
        <v>400</v>
      </c>
      <c r="T12">
        <f t="shared" si="13"/>
        <v>220</v>
      </c>
      <c r="U12">
        <f t="shared" si="14"/>
        <v>180</v>
      </c>
      <c r="V12">
        <f t="shared" si="15"/>
        <v>-458</v>
      </c>
      <c r="W12">
        <f t="shared" si="16"/>
        <v>180</v>
      </c>
      <c r="X12">
        <f t="shared" si="17"/>
        <v>400</v>
      </c>
    </row>
    <row r="13" spans="1:66" ht="14.45" x14ac:dyDescent="0.35">
      <c r="A13" s="7">
        <f>B13/(1-Assump!$D$4)</f>
        <v>47.727272727272727</v>
      </c>
      <c r="B13" s="1">
        <v>45</v>
      </c>
      <c r="C13" s="9">
        <f t="shared" si="1"/>
        <v>220</v>
      </c>
      <c r="D13">
        <f t="shared" si="2"/>
        <v>220</v>
      </c>
      <c r="E13">
        <f t="shared" si="3"/>
        <v>-453</v>
      </c>
      <c r="F13">
        <f t="shared" si="4"/>
        <v>180</v>
      </c>
      <c r="G13">
        <f t="shared" si="5"/>
        <v>400</v>
      </c>
      <c r="H13">
        <f t="shared" si="6"/>
        <v>20</v>
      </c>
      <c r="I13">
        <f t="shared" si="10"/>
        <v>160</v>
      </c>
      <c r="J13">
        <f t="shared" si="18"/>
        <v>0</v>
      </c>
      <c r="L13">
        <f t="shared" si="7"/>
        <v>4455</v>
      </c>
      <c r="M13">
        <f t="shared" si="8"/>
        <v>160</v>
      </c>
      <c r="N13" s="9" t="e">
        <f>IF(OR($B13&gt;Assump!$E$9,$B13&lt;HVDC_Received_Max),NA(),NI_demand*2)</f>
        <v>#N/A</v>
      </c>
      <c r="O13">
        <f t="shared" si="9"/>
        <v>4615</v>
      </c>
      <c r="R13">
        <f t="shared" si="11"/>
        <v>45</v>
      </c>
      <c r="S13" s="3">
        <f t="shared" si="12"/>
        <v>400</v>
      </c>
      <c r="T13">
        <f t="shared" si="13"/>
        <v>220</v>
      </c>
      <c r="U13">
        <f t="shared" si="14"/>
        <v>180</v>
      </c>
      <c r="V13">
        <f t="shared" si="15"/>
        <v>-453</v>
      </c>
      <c r="W13">
        <f t="shared" si="16"/>
        <v>180</v>
      </c>
      <c r="X13">
        <f t="shared" si="17"/>
        <v>400</v>
      </c>
    </row>
    <row r="14" spans="1:66" ht="14.45" x14ac:dyDescent="0.35">
      <c r="A14" s="7">
        <f>B14/(1-Assump!$D$4)</f>
        <v>53.030303030303031</v>
      </c>
      <c r="B14" s="1">
        <v>50</v>
      </c>
      <c r="C14" s="9">
        <f t="shared" si="1"/>
        <v>220</v>
      </c>
      <c r="D14">
        <f t="shared" si="2"/>
        <v>220</v>
      </c>
      <c r="E14">
        <f t="shared" si="3"/>
        <v>-448</v>
      </c>
      <c r="F14">
        <f t="shared" si="4"/>
        <v>180</v>
      </c>
      <c r="G14">
        <f t="shared" si="5"/>
        <v>400</v>
      </c>
      <c r="H14">
        <f t="shared" si="6"/>
        <v>20</v>
      </c>
      <c r="I14">
        <f t="shared" si="10"/>
        <v>160</v>
      </c>
      <c r="J14">
        <f t="shared" si="18"/>
        <v>0</v>
      </c>
      <c r="L14">
        <f t="shared" si="7"/>
        <v>4450</v>
      </c>
      <c r="M14">
        <f t="shared" si="8"/>
        <v>160</v>
      </c>
      <c r="N14" s="9" t="e">
        <f>IF(OR($B14&gt;Assump!$E$9,$B14&lt;HVDC_Received_Max),NA(),NI_demand*2)</f>
        <v>#N/A</v>
      </c>
      <c r="O14">
        <f t="shared" si="9"/>
        <v>4610</v>
      </c>
      <c r="R14">
        <f t="shared" si="11"/>
        <v>50</v>
      </c>
      <c r="S14" s="3">
        <f t="shared" si="12"/>
        <v>400</v>
      </c>
      <c r="T14">
        <f t="shared" si="13"/>
        <v>220</v>
      </c>
      <c r="U14">
        <f t="shared" si="14"/>
        <v>180</v>
      </c>
      <c r="V14">
        <f t="shared" si="15"/>
        <v>-448</v>
      </c>
      <c r="W14">
        <f t="shared" si="16"/>
        <v>180</v>
      </c>
      <c r="X14">
        <f t="shared" si="17"/>
        <v>400</v>
      </c>
    </row>
    <row r="15" spans="1:66" ht="14.45" x14ac:dyDescent="0.35">
      <c r="A15" s="7">
        <f>B15/(1-Assump!$D$4)</f>
        <v>58.333333333333336</v>
      </c>
      <c r="B15" s="1">
        <v>55</v>
      </c>
      <c r="C15" s="9">
        <f t="shared" si="1"/>
        <v>220</v>
      </c>
      <c r="D15">
        <f t="shared" si="2"/>
        <v>220</v>
      </c>
      <c r="E15">
        <f t="shared" si="3"/>
        <v>-443</v>
      </c>
      <c r="F15">
        <f t="shared" si="4"/>
        <v>180</v>
      </c>
      <c r="G15">
        <f t="shared" si="5"/>
        <v>400</v>
      </c>
      <c r="H15">
        <f t="shared" si="6"/>
        <v>20</v>
      </c>
      <c r="I15">
        <f t="shared" si="10"/>
        <v>160</v>
      </c>
      <c r="J15">
        <f t="shared" si="18"/>
        <v>0</v>
      </c>
      <c r="L15">
        <f t="shared" si="7"/>
        <v>4445</v>
      </c>
      <c r="M15">
        <f t="shared" si="8"/>
        <v>160</v>
      </c>
      <c r="N15" s="9" t="e">
        <f>IF(OR($B15&gt;Assump!$E$9,$B15&lt;HVDC_Received_Max),NA(),NI_demand*2)</f>
        <v>#N/A</v>
      </c>
      <c r="O15">
        <f t="shared" si="9"/>
        <v>4605</v>
      </c>
      <c r="R15">
        <f t="shared" si="11"/>
        <v>55</v>
      </c>
      <c r="S15" s="3">
        <f t="shared" si="12"/>
        <v>400</v>
      </c>
      <c r="T15">
        <f t="shared" si="13"/>
        <v>220</v>
      </c>
      <c r="U15">
        <f t="shared" si="14"/>
        <v>180</v>
      </c>
      <c r="V15">
        <f t="shared" si="15"/>
        <v>-443</v>
      </c>
      <c r="W15">
        <f t="shared" si="16"/>
        <v>180</v>
      </c>
      <c r="X15">
        <f t="shared" si="17"/>
        <v>400</v>
      </c>
    </row>
    <row r="16" spans="1:66" ht="14.45" x14ac:dyDescent="0.35">
      <c r="A16" s="7">
        <f>B16/(1-Assump!$D$4)</f>
        <v>63.63636363636364</v>
      </c>
      <c r="B16" s="1">
        <v>60</v>
      </c>
      <c r="C16" s="9">
        <f t="shared" si="1"/>
        <v>220</v>
      </c>
      <c r="D16">
        <f t="shared" si="2"/>
        <v>220</v>
      </c>
      <c r="E16">
        <f t="shared" si="3"/>
        <v>-438</v>
      </c>
      <c r="F16">
        <f t="shared" si="4"/>
        <v>180</v>
      </c>
      <c r="G16">
        <f t="shared" si="5"/>
        <v>400</v>
      </c>
      <c r="H16">
        <f t="shared" si="6"/>
        <v>20</v>
      </c>
      <c r="I16">
        <f t="shared" si="10"/>
        <v>160</v>
      </c>
      <c r="J16">
        <f t="shared" si="18"/>
        <v>0</v>
      </c>
      <c r="L16">
        <f t="shared" si="7"/>
        <v>4440</v>
      </c>
      <c r="M16">
        <f t="shared" si="8"/>
        <v>160</v>
      </c>
      <c r="N16" s="9" t="e">
        <f>IF(OR($B16&gt;Assump!$E$9,$B16&lt;HVDC_Received_Max),NA(),NI_demand*2)</f>
        <v>#N/A</v>
      </c>
      <c r="O16">
        <f t="shared" si="9"/>
        <v>4600</v>
      </c>
      <c r="R16">
        <f t="shared" si="11"/>
        <v>60</v>
      </c>
      <c r="S16" s="3">
        <f t="shared" si="12"/>
        <v>400</v>
      </c>
      <c r="T16">
        <f t="shared" si="13"/>
        <v>220</v>
      </c>
      <c r="U16">
        <f t="shared" si="14"/>
        <v>180</v>
      </c>
      <c r="V16">
        <f t="shared" si="15"/>
        <v>-438</v>
      </c>
      <c r="W16">
        <f t="shared" si="16"/>
        <v>180</v>
      </c>
      <c r="X16">
        <f t="shared" si="17"/>
        <v>400</v>
      </c>
    </row>
    <row r="17" spans="1:24" ht="14.45" x14ac:dyDescent="0.35">
      <c r="A17" s="7">
        <f>B17/(1-Assump!$D$4)</f>
        <v>68.939393939393938</v>
      </c>
      <c r="B17" s="1">
        <v>65</v>
      </c>
      <c r="C17" s="9">
        <f t="shared" si="1"/>
        <v>220</v>
      </c>
      <c r="D17">
        <f t="shared" si="2"/>
        <v>220</v>
      </c>
      <c r="E17">
        <f t="shared" si="3"/>
        <v>-433</v>
      </c>
      <c r="F17">
        <f t="shared" si="4"/>
        <v>180</v>
      </c>
      <c r="G17">
        <f t="shared" si="5"/>
        <v>400</v>
      </c>
      <c r="H17">
        <f t="shared" si="6"/>
        <v>20</v>
      </c>
      <c r="I17">
        <f t="shared" si="10"/>
        <v>160</v>
      </c>
      <c r="J17">
        <f t="shared" si="18"/>
        <v>0</v>
      </c>
      <c r="L17">
        <f t="shared" si="7"/>
        <v>4435</v>
      </c>
      <c r="M17">
        <f t="shared" si="8"/>
        <v>160</v>
      </c>
      <c r="N17" s="9" t="e">
        <f>IF(OR($B17&gt;Assump!$E$9,$B17&lt;HVDC_Received_Max),NA(),NI_demand*2)</f>
        <v>#N/A</v>
      </c>
      <c r="O17">
        <f t="shared" si="9"/>
        <v>4595</v>
      </c>
      <c r="R17">
        <f t="shared" si="11"/>
        <v>65</v>
      </c>
      <c r="S17" s="3">
        <f t="shared" si="12"/>
        <v>400</v>
      </c>
      <c r="T17">
        <f t="shared" si="13"/>
        <v>220</v>
      </c>
      <c r="U17">
        <f t="shared" si="14"/>
        <v>180</v>
      </c>
      <c r="V17">
        <f t="shared" si="15"/>
        <v>-433</v>
      </c>
      <c r="W17">
        <f t="shared" si="16"/>
        <v>180</v>
      </c>
      <c r="X17">
        <f t="shared" si="17"/>
        <v>400</v>
      </c>
    </row>
    <row r="18" spans="1:24" ht="14.45" x14ac:dyDescent="0.35">
      <c r="A18" s="7">
        <f>B18/(1-Assump!$D$4)</f>
        <v>74.242424242424249</v>
      </c>
      <c r="B18" s="1">
        <v>70</v>
      </c>
      <c r="C18" s="9">
        <f t="shared" si="1"/>
        <v>220</v>
      </c>
      <c r="D18">
        <f t="shared" si="2"/>
        <v>220</v>
      </c>
      <c r="E18">
        <f t="shared" si="3"/>
        <v>-428</v>
      </c>
      <c r="F18">
        <f t="shared" si="4"/>
        <v>180</v>
      </c>
      <c r="G18">
        <f t="shared" si="5"/>
        <v>400</v>
      </c>
      <c r="H18">
        <f t="shared" si="6"/>
        <v>20</v>
      </c>
      <c r="I18">
        <f t="shared" si="10"/>
        <v>160</v>
      </c>
      <c r="J18">
        <f t="shared" si="18"/>
        <v>0</v>
      </c>
      <c r="L18">
        <f t="shared" si="7"/>
        <v>4430</v>
      </c>
      <c r="M18">
        <f t="shared" si="8"/>
        <v>160</v>
      </c>
      <c r="N18" s="9" t="e">
        <f>IF(OR($B18&gt;Assump!$E$9,$B18&lt;HVDC_Received_Max),NA(),NI_demand*2)</f>
        <v>#N/A</v>
      </c>
      <c r="O18">
        <f t="shared" si="9"/>
        <v>4590</v>
      </c>
      <c r="R18">
        <f t="shared" si="11"/>
        <v>70</v>
      </c>
      <c r="S18" s="3">
        <f t="shared" si="12"/>
        <v>400</v>
      </c>
      <c r="T18">
        <f t="shared" si="13"/>
        <v>220</v>
      </c>
      <c r="U18">
        <f t="shared" si="14"/>
        <v>180</v>
      </c>
      <c r="V18">
        <f t="shared" si="15"/>
        <v>-428</v>
      </c>
      <c r="W18">
        <f t="shared" si="16"/>
        <v>180</v>
      </c>
      <c r="X18">
        <f t="shared" si="17"/>
        <v>400</v>
      </c>
    </row>
    <row r="19" spans="1:24" ht="14.45" x14ac:dyDescent="0.35">
      <c r="A19" s="7">
        <f>B19/(1-Assump!$D$4)</f>
        <v>79.545454545454547</v>
      </c>
      <c r="B19" s="1">
        <v>75</v>
      </c>
      <c r="C19" s="9">
        <f t="shared" si="1"/>
        <v>220</v>
      </c>
      <c r="D19">
        <f t="shared" si="2"/>
        <v>220</v>
      </c>
      <c r="E19">
        <f t="shared" si="3"/>
        <v>-423</v>
      </c>
      <c r="F19">
        <f t="shared" si="4"/>
        <v>180</v>
      </c>
      <c r="G19">
        <f t="shared" si="5"/>
        <v>400</v>
      </c>
      <c r="H19">
        <f t="shared" si="6"/>
        <v>20</v>
      </c>
      <c r="I19">
        <f t="shared" si="10"/>
        <v>160</v>
      </c>
      <c r="J19">
        <f t="shared" si="18"/>
        <v>0</v>
      </c>
      <c r="L19">
        <f t="shared" si="7"/>
        <v>4425</v>
      </c>
      <c r="M19">
        <f t="shared" si="8"/>
        <v>160</v>
      </c>
      <c r="N19" s="9" t="e">
        <f>IF(OR($B19&gt;Assump!$E$9,$B19&lt;HVDC_Received_Max),NA(),NI_demand*2)</f>
        <v>#N/A</v>
      </c>
      <c r="O19">
        <f t="shared" si="9"/>
        <v>4585</v>
      </c>
      <c r="R19">
        <f t="shared" si="11"/>
        <v>75</v>
      </c>
      <c r="S19" s="3">
        <f t="shared" si="12"/>
        <v>400</v>
      </c>
      <c r="T19">
        <f t="shared" si="13"/>
        <v>220</v>
      </c>
      <c r="U19">
        <f t="shared" si="14"/>
        <v>180</v>
      </c>
      <c r="V19">
        <f t="shared" si="15"/>
        <v>-423</v>
      </c>
      <c r="W19">
        <f t="shared" si="16"/>
        <v>180</v>
      </c>
      <c r="X19">
        <f t="shared" si="17"/>
        <v>400</v>
      </c>
    </row>
    <row r="20" spans="1:24" ht="14.45" x14ac:dyDescent="0.35">
      <c r="A20" s="7">
        <f>B20/(1-Assump!$D$4)</f>
        <v>84.848484848484844</v>
      </c>
      <c r="B20" s="1">
        <v>80</v>
      </c>
      <c r="C20" s="9">
        <f t="shared" si="1"/>
        <v>220</v>
      </c>
      <c r="D20">
        <f t="shared" si="2"/>
        <v>220</v>
      </c>
      <c r="E20">
        <f t="shared" si="3"/>
        <v>-418</v>
      </c>
      <c r="F20">
        <f t="shared" si="4"/>
        <v>180</v>
      </c>
      <c r="G20">
        <f t="shared" si="5"/>
        <v>400</v>
      </c>
      <c r="H20">
        <f t="shared" si="6"/>
        <v>20</v>
      </c>
      <c r="I20">
        <f t="shared" si="10"/>
        <v>160</v>
      </c>
      <c r="J20">
        <f t="shared" si="18"/>
        <v>0</v>
      </c>
      <c r="L20">
        <f t="shared" si="7"/>
        <v>4420</v>
      </c>
      <c r="M20">
        <f t="shared" si="8"/>
        <v>160</v>
      </c>
      <c r="N20" s="9" t="e">
        <f>IF(OR($B20&gt;Assump!$E$9,$B20&lt;HVDC_Received_Max),NA(),NI_demand*2)</f>
        <v>#N/A</v>
      </c>
      <c r="O20">
        <f t="shared" si="9"/>
        <v>4580</v>
      </c>
      <c r="R20">
        <f t="shared" si="11"/>
        <v>80</v>
      </c>
      <c r="S20" s="3">
        <f t="shared" si="12"/>
        <v>400</v>
      </c>
      <c r="T20">
        <f t="shared" si="13"/>
        <v>220</v>
      </c>
      <c r="U20">
        <f t="shared" si="14"/>
        <v>180</v>
      </c>
      <c r="V20">
        <f t="shared" si="15"/>
        <v>-418</v>
      </c>
      <c r="W20">
        <f t="shared" si="16"/>
        <v>180</v>
      </c>
      <c r="X20">
        <f t="shared" si="17"/>
        <v>400</v>
      </c>
    </row>
    <row r="21" spans="1:24" ht="14.45" x14ac:dyDescent="0.35">
      <c r="A21" s="7">
        <f>B21/(1-Assump!$D$4)</f>
        <v>90.151515151515156</v>
      </c>
      <c r="B21" s="1">
        <v>85</v>
      </c>
      <c r="C21" s="9">
        <f t="shared" si="1"/>
        <v>220</v>
      </c>
      <c r="D21">
        <f t="shared" si="2"/>
        <v>220</v>
      </c>
      <c r="E21">
        <f t="shared" si="3"/>
        <v>-413</v>
      </c>
      <c r="F21">
        <f t="shared" si="4"/>
        <v>180</v>
      </c>
      <c r="G21">
        <f t="shared" si="5"/>
        <v>400</v>
      </c>
      <c r="H21">
        <f t="shared" si="6"/>
        <v>20</v>
      </c>
      <c r="I21">
        <f t="shared" si="10"/>
        <v>160</v>
      </c>
      <c r="J21">
        <f t="shared" si="18"/>
        <v>0</v>
      </c>
      <c r="L21">
        <f t="shared" si="7"/>
        <v>4415</v>
      </c>
      <c r="M21">
        <f t="shared" si="8"/>
        <v>160</v>
      </c>
      <c r="N21" s="9" t="e">
        <f>IF(OR($B21&gt;Assump!$E$9,$B21&lt;HVDC_Received_Max),NA(),NI_demand*2)</f>
        <v>#N/A</v>
      </c>
      <c r="O21">
        <f t="shared" si="9"/>
        <v>4575</v>
      </c>
      <c r="R21">
        <f t="shared" si="11"/>
        <v>85</v>
      </c>
      <c r="S21" s="3">
        <f t="shared" si="12"/>
        <v>400</v>
      </c>
      <c r="T21">
        <f t="shared" si="13"/>
        <v>220</v>
      </c>
      <c r="U21">
        <f t="shared" si="14"/>
        <v>180</v>
      </c>
      <c r="V21">
        <f t="shared" si="15"/>
        <v>-413</v>
      </c>
      <c r="W21">
        <f t="shared" si="16"/>
        <v>180</v>
      </c>
      <c r="X21">
        <f t="shared" si="17"/>
        <v>400</v>
      </c>
    </row>
    <row r="22" spans="1:24" ht="14.45" x14ac:dyDescent="0.35">
      <c r="A22" s="7">
        <f>B22/(1-Assump!$D$4)</f>
        <v>95.454545454545453</v>
      </c>
      <c r="B22" s="1">
        <v>90</v>
      </c>
      <c r="C22" s="9">
        <f t="shared" si="1"/>
        <v>220</v>
      </c>
      <c r="D22">
        <f t="shared" si="2"/>
        <v>220</v>
      </c>
      <c r="E22">
        <f t="shared" si="3"/>
        <v>-408</v>
      </c>
      <c r="F22">
        <f t="shared" si="4"/>
        <v>180</v>
      </c>
      <c r="G22">
        <f t="shared" si="5"/>
        <v>400</v>
      </c>
      <c r="H22">
        <f t="shared" si="6"/>
        <v>20</v>
      </c>
      <c r="I22">
        <f t="shared" si="10"/>
        <v>160</v>
      </c>
      <c r="J22">
        <f t="shared" si="18"/>
        <v>0</v>
      </c>
      <c r="L22">
        <f t="shared" si="7"/>
        <v>4410</v>
      </c>
      <c r="M22">
        <f t="shared" si="8"/>
        <v>160</v>
      </c>
      <c r="N22" s="9" t="e">
        <f>IF(OR($B22&gt;Assump!$E$9,$B22&lt;HVDC_Received_Max),NA(),NI_demand*2)</f>
        <v>#N/A</v>
      </c>
      <c r="O22">
        <f t="shared" si="9"/>
        <v>4570</v>
      </c>
      <c r="R22">
        <f t="shared" si="11"/>
        <v>90</v>
      </c>
      <c r="S22" s="3">
        <f t="shared" si="12"/>
        <v>400</v>
      </c>
      <c r="T22">
        <f t="shared" si="13"/>
        <v>220</v>
      </c>
      <c r="U22">
        <f t="shared" si="14"/>
        <v>180</v>
      </c>
      <c r="V22">
        <f t="shared" si="15"/>
        <v>-408</v>
      </c>
      <c r="W22">
        <f t="shared" si="16"/>
        <v>180</v>
      </c>
      <c r="X22">
        <f t="shared" si="17"/>
        <v>400</v>
      </c>
    </row>
    <row r="23" spans="1:24" ht="14.45" x14ac:dyDescent="0.35">
      <c r="A23" s="7">
        <f>B23/(1-Assump!$D$4)</f>
        <v>100.75757575757576</v>
      </c>
      <c r="B23" s="1">
        <v>95</v>
      </c>
      <c r="C23" s="9">
        <f t="shared" si="1"/>
        <v>220</v>
      </c>
      <c r="D23">
        <f t="shared" si="2"/>
        <v>220</v>
      </c>
      <c r="E23">
        <f t="shared" si="3"/>
        <v>-403</v>
      </c>
      <c r="F23">
        <f t="shared" si="4"/>
        <v>180</v>
      </c>
      <c r="G23">
        <f t="shared" si="5"/>
        <v>400</v>
      </c>
      <c r="H23">
        <f t="shared" si="6"/>
        <v>20</v>
      </c>
      <c r="I23">
        <f t="shared" si="10"/>
        <v>160</v>
      </c>
      <c r="J23">
        <f t="shared" si="18"/>
        <v>0</v>
      </c>
      <c r="L23">
        <f t="shared" si="7"/>
        <v>4405</v>
      </c>
      <c r="M23">
        <f t="shared" si="8"/>
        <v>160</v>
      </c>
      <c r="N23" s="9" t="e">
        <f>IF(OR($B23&gt;Assump!$E$9,$B23&lt;HVDC_Received_Max),NA(),NI_demand*2)</f>
        <v>#N/A</v>
      </c>
      <c r="O23">
        <f t="shared" si="9"/>
        <v>4565</v>
      </c>
      <c r="R23">
        <f t="shared" si="11"/>
        <v>95</v>
      </c>
      <c r="S23" s="3">
        <f t="shared" si="12"/>
        <v>400</v>
      </c>
      <c r="T23">
        <f t="shared" si="13"/>
        <v>220</v>
      </c>
      <c r="U23">
        <f t="shared" si="14"/>
        <v>180</v>
      </c>
      <c r="V23">
        <f t="shared" si="15"/>
        <v>-403</v>
      </c>
      <c r="W23">
        <f t="shared" si="16"/>
        <v>180</v>
      </c>
      <c r="X23">
        <f t="shared" si="17"/>
        <v>400</v>
      </c>
    </row>
    <row r="24" spans="1:24" ht="14.45" x14ac:dyDescent="0.35">
      <c r="A24" s="7">
        <f>B24/(1-Assump!$D$4)</f>
        <v>106.06060606060606</v>
      </c>
      <c r="B24" s="1">
        <v>100</v>
      </c>
      <c r="C24" s="9">
        <f t="shared" si="1"/>
        <v>220</v>
      </c>
      <c r="D24">
        <f t="shared" si="2"/>
        <v>220</v>
      </c>
      <c r="E24">
        <f t="shared" si="3"/>
        <v>-398</v>
      </c>
      <c r="F24">
        <f t="shared" si="4"/>
        <v>180</v>
      </c>
      <c r="G24">
        <f t="shared" si="5"/>
        <v>400</v>
      </c>
      <c r="H24">
        <f t="shared" si="6"/>
        <v>20</v>
      </c>
      <c r="I24">
        <f t="shared" si="10"/>
        <v>160</v>
      </c>
      <c r="J24">
        <f t="shared" si="18"/>
        <v>0</v>
      </c>
      <c r="L24">
        <f t="shared" si="7"/>
        <v>4400</v>
      </c>
      <c r="M24">
        <f t="shared" si="8"/>
        <v>160</v>
      </c>
      <c r="N24" s="9" t="e">
        <f>IF(OR($B24&gt;Assump!$E$9,$B24&lt;HVDC_Received_Max),NA(),NI_demand*2)</f>
        <v>#N/A</v>
      </c>
      <c r="O24">
        <f t="shared" si="9"/>
        <v>4560</v>
      </c>
      <c r="R24">
        <f t="shared" si="11"/>
        <v>100</v>
      </c>
      <c r="S24" s="3">
        <f t="shared" si="12"/>
        <v>400</v>
      </c>
      <c r="T24">
        <f t="shared" si="13"/>
        <v>220</v>
      </c>
      <c r="U24">
        <f t="shared" si="14"/>
        <v>180</v>
      </c>
      <c r="V24">
        <f t="shared" si="15"/>
        <v>-398</v>
      </c>
      <c r="W24">
        <f t="shared" si="16"/>
        <v>180</v>
      </c>
      <c r="X24">
        <f t="shared" si="17"/>
        <v>400</v>
      </c>
    </row>
    <row r="25" spans="1:24" ht="14.45" x14ac:dyDescent="0.35">
      <c r="A25" s="7">
        <f>B25/(1-Assump!$D$4)</f>
        <v>111.36363636363636</v>
      </c>
      <c r="B25" s="1">
        <v>105</v>
      </c>
      <c r="C25" s="9">
        <f t="shared" si="1"/>
        <v>220</v>
      </c>
      <c r="D25">
        <f t="shared" si="2"/>
        <v>220</v>
      </c>
      <c r="E25">
        <f t="shared" si="3"/>
        <v>-393</v>
      </c>
      <c r="F25">
        <f t="shared" si="4"/>
        <v>180</v>
      </c>
      <c r="G25">
        <f t="shared" si="5"/>
        <v>400</v>
      </c>
      <c r="H25">
        <f t="shared" si="6"/>
        <v>20</v>
      </c>
      <c r="I25">
        <f t="shared" si="10"/>
        <v>160</v>
      </c>
      <c r="J25">
        <f t="shared" si="18"/>
        <v>0</v>
      </c>
      <c r="L25">
        <f t="shared" si="7"/>
        <v>4395</v>
      </c>
      <c r="M25">
        <f t="shared" si="8"/>
        <v>160</v>
      </c>
      <c r="N25" s="9" t="e">
        <f>IF(OR($B25&gt;Assump!$E$9,$B25&lt;HVDC_Received_Max),NA(),NI_demand*2)</f>
        <v>#N/A</v>
      </c>
      <c r="O25">
        <f t="shared" si="9"/>
        <v>4555</v>
      </c>
      <c r="R25">
        <f t="shared" si="11"/>
        <v>105</v>
      </c>
      <c r="S25" s="3">
        <f t="shared" si="12"/>
        <v>400</v>
      </c>
      <c r="T25">
        <f t="shared" si="13"/>
        <v>220</v>
      </c>
      <c r="U25">
        <f t="shared" si="14"/>
        <v>180</v>
      </c>
      <c r="V25">
        <f t="shared" si="15"/>
        <v>-393</v>
      </c>
      <c r="W25">
        <f t="shared" si="16"/>
        <v>180</v>
      </c>
      <c r="X25">
        <f t="shared" si="17"/>
        <v>400</v>
      </c>
    </row>
    <row r="26" spans="1:24" ht="14.45" x14ac:dyDescent="0.35">
      <c r="A26" s="7">
        <f>B26/(1-Assump!$D$4)</f>
        <v>116.66666666666667</v>
      </c>
      <c r="B26" s="1">
        <v>110</v>
      </c>
      <c r="C26" s="9">
        <f t="shared" si="1"/>
        <v>220</v>
      </c>
      <c r="D26">
        <f t="shared" si="2"/>
        <v>220</v>
      </c>
      <c r="E26">
        <f t="shared" si="3"/>
        <v>-388</v>
      </c>
      <c r="F26">
        <f t="shared" si="4"/>
        <v>180</v>
      </c>
      <c r="G26">
        <f t="shared" si="5"/>
        <v>400</v>
      </c>
      <c r="H26">
        <f t="shared" si="6"/>
        <v>20</v>
      </c>
      <c r="I26">
        <f t="shared" si="10"/>
        <v>160</v>
      </c>
      <c r="J26">
        <f t="shared" si="18"/>
        <v>0</v>
      </c>
      <c r="L26">
        <f t="shared" si="7"/>
        <v>4390</v>
      </c>
      <c r="M26">
        <f t="shared" si="8"/>
        <v>160</v>
      </c>
      <c r="N26" s="9" t="e">
        <f>IF(OR($B26&gt;Assump!$E$9,$B26&lt;HVDC_Received_Max),NA(),NI_demand*2)</f>
        <v>#N/A</v>
      </c>
      <c r="O26">
        <f t="shared" si="9"/>
        <v>4550</v>
      </c>
      <c r="R26">
        <f t="shared" si="11"/>
        <v>110</v>
      </c>
      <c r="S26" s="3">
        <f t="shared" si="12"/>
        <v>400</v>
      </c>
      <c r="T26">
        <f t="shared" si="13"/>
        <v>220</v>
      </c>
      <c r="U26">
        <f t="shared" si="14"/>
        <v>180</v>
      </c>
      <c r="V26">
        <f t="shared" si="15"/>
        <v>-388</v>
      </c>
      <c r="W26">
        <f t="shared" si="16"/>
        <v>180</v>
      </c>
      <c r="X26">
        <f t="shared" si="17"/>
        <v>400</v>
      </c>
    </row>
    <row r="27" spans="1:24" ht="14.45" x14ac:dyDescent="0.35">
      <c r="A27" s="7">
        <f>B27/(1-Assump!$D$4)</f>
        <v>121.96969696969697</v>
      </c>
      <c r="B27" s="1">
        <v>115</v>
      </c>
      <c r="C27" s="9">
        <f t="shared" si="1"/>
        <v>220</v>
      </c>
      <c r="D27">
        <f t="shared" si="2"/>
        <v>220</v>
      </c>
      <c r="E27">
        <f t="shared" si="3"/>
        <v>-383</v>
      </c>
      <c r="F27">
        <f t="shared" si="4"/>
        <v>180</v>
      </c>
      <c r="G27">
        <f t="shared" si="5"/>
        <v>400</v>
      </c>
      <c r="H27">
        <f t="shared" si="6"/>
        <v>20</v>
      </c>
      <c r="I27">
        <f t="shared" si="10"/>
        <v>160</v>
      </c>
      <c r="J27">
        <f t="shared" si="18"/>
        <v>0</v>
      </c>
      <c r="L27">
        <f t="shared" si="7"/>
        <v>4385</v>
      </c>
      <c r="M27">
        <f t="shared" si="8"/>
        <v>160</v>
      </c>
      <c r="N27" s="9" t="e">
        <f>IF(OR($B27&gt;Assump!$E$9,$B27&lt;HVDC_Received_Max),NA(),NI_demand*2)</f>
        <v>#N/A</v>
      </c>
      <c r="O27">
        <f t="shared" si="9"/>
        <v>4545</v>
      </c>
      <c r="R27">
        <f t="shared" si="11"/>
        <v>115</v>
      </c>
      <c r="S27" s="3">
        <f t="shared" si="12"/>
        <v>400</v>
      </c>
      <c r="T27">
        <f t="shared" si="13"/>
        <v>220</v>
      </c>
      <c r="U27">
        <f t="shared" si="14"/>
        <v>180</v>
      </c>
      <c r="V27">
        <f t="shared" si="15"/>
        <v>-383</v>
      </c>
      <c r="W27">
        <f t="shared" si="16"/>
        <v>180</v>
      </c>
      <c r="X27">
        <f t="shared" si="17"/>
        <v>400</v>
      </c>
    </row>
    <row r="28" spans="1:24" ht="14.45" x14ac:dyDescent="0.35">
      <c r="A28" s="7">
        <f>B28/(1-Assump!$D$4)</f>
        <v>127.27272727272728</v>
      </c>
      <c r="B28" s="1">
        <v>120</v>
      </c>
      <c r="C28" s="9">
        <f t="shared" si="1"/>
        <v>220</v>
      </c>
      <c r="D28">
        <f t="shared" si="2"/>
        <v>220</v>
      </c>
      <c r="E28">
        <f t="shared" si="3"/>
        <v>-378</v>
      </c>
      <c r="F28">
        <f t="shared" si="4"/>
        <v>180</v>
      </c>
      <c r="G28">
        <f t="shared" si="5"/>
        <v>400</v>
      </c>
      <c r="H28">
        <f t="shared" si="6"/>
        <v>20</v>
      </c>
      <c r="I28">
        <f t="shared" si="10"/>
        <v>160</v>
      </c>
      <c r="J28">
        <f t="shared" si="18"/>
        <v>0</v>
      </c>
      <c r="L28">
        <f t="shared" si="7"/>
        <v>4380</v>
      </c>
      <c r="M28">
        <f t="shared" si="8"/>
        <v>160</v>
      </c>
      <c r="N28" s="9" t="e">
        <f>IF(OR($B28&gt;Assump!$E$9,$B28&lt;HVDC_Received_Max),NA(),NI_demand*2)</f>
        <v>#N/A</v>
      </c>
      <c r="O28">
        <f t="shared" si="9"/>
        <v>4540</v>
      </c>
      <c r="R28">
        <f t="shared" si="11"/>
        <v>120</v>
      </c>
      <c r="S28" s="3">
        <f t="shared" si="12"/>
        <v>400</v>
      </c>
      <c r="T28">
        <f t="shared" si="13"/>
        <v>220</v>
      </c>
      <c r="U28">
        <f t="shared" si="14"/>
        <v>180</v>
      </c>
      <c r="V28">
        <f t="shared" si="15"/>
        <v>-378</v>
      </c>
      <c r="W28">
        <f t="shared" si="16"/>
        <v>180</v>
      </c>
      <c r="X28">
        <f t="shared" si="17"/>
        <v>400</v>
      </c>
    </row>
    <row r="29" spans="1:24" ht="14.45" x14ac:dyDescent="0.35">
      <c r="A29" s="7">
        <f>B29/(1-Assump!$D$4)</f>
        <v>132.57575757575759</v>
      </c>
      <c r="B29" s="1">
        <v>125</v>
      </c>
      <c r="C29" s="9">
        <f t="shared" si="1"/>
        <v>220</v>
      </c>
      <c r="D29">
        <f t="shared" si="2"/>
        <v>220</v>
      </c>
      <c r="E29">
        <f t="shared" si="3"/>
        <v>-373</v>
      </c>
      <c r="F29">
        <f t="shared" si="4"/>
        <v>180</v>
      </c>
      <c r="G29">
        <f t="shared" si="5"/>
        <v>400</v>
      </c>
      <c r="H29">
        <f t="shared" si="6"/>
        <v>20</v>
      </c>
      <c r="I29">
        <f t="shared" si="10"/>
        <v>160</v>
      </c>
      <c r="J29">
        <f t="shared" si="18"/>
        <v>0</v>
      </c>
      <c r="L29">
        <f t="shared" si="7"/>
        <v>4375</v>
      </c>
      <c r="M29">
        <f t="shared" si="8"/>
        <v>160</v>
      </c>
      <c r="N29" s="9" t="e">
        <f>IF(OR($B29&gt;Assump!$E$9,$B29&lt;HVDC_Received_Max),NA(),NI_demand*2)</f>
        <v>#N/A</v>
      </c>
      <c r="O29">
        <f t="shared" si="9"/>
        <v>4535</v>
      </c>
      <c r="R29">
        <f t="shared" si="11"/>
        <v>125</v>
      </c>
      <c r="S29" s="3">
        <f t="shared" si="12"/>
        <v>400</v>
      </c>
      <c r="T29">
        <f t="shared" si="13"/>
        <v>220</v>
      </c>
      <c r="U29">
        <f t="shared" si="14"/>
        <v>180</v>
      </c>
      <c r="V29">
        <f t="shared" si="15"/>
        <v>-373</v>
      </c>
      <c r="W29">
        <f t="shared" si="16"/>
        <v>180</v>
      </c>
      <c r="X29">
        <f t="shared" si="17"/>
        <v>400</v>
      </c>
    </row>
    <row r="30" spans="1:24" ht="14.45" x14ac:dyDescent="0.35">
      <c r="A30" s="7">
        <f>B30/(1-Assump!$D$4)</f>
        <v>137.87878787878788</v>
      </c>
      <c r="B30" s="1">
        <v>130</v>
      </c>
      <c r="C30" s="9">
        <f t="shared" si="1"/>
        <v>220</v>
      </c>
      <c r="D30">
        <f t="shared" si="2"/>
        <v>220</v>
      </c>
      <c r="E30">
        <f t="shared" si="3"/>
        <v>-368</v>
      </c>
      <c r="F30">
        <f t="shared" si="4"/>
        <v>180</v>
      </c>
      <c r="G30">
        <f t="shared" si="5"/>
        <v>400</v>
      </c>
      <c r="H30">
        <f t="shared" si="6"/>
        <v>20</v>
      </c>
      <c r="I30">
        <f t="shared" si="10"/>
        <v>160</v>
      </c>
      <c r="J30">
        <f t="shared" si="18"/>
        <v>0</v>
      </c>
      <c r="L30">
        <f t="shared" si="7"/>
        <v>4370</v>
      </c>
      <c r="M30">
        <f t="shared" si="8"/>
        <v>160</v>
      </c>
      <c r="N30" s="9" t="e">
        <f>IF(OR($B30&gt;Assump!$E$9,$B30&lt;HVDC_Received_Max),NA(),NI_demand*2)</f>
        <v>#N/A</v>
      </c>
      <c r="O30">
        <f t="shared" si="9"/>
        <v>4530</v>
      </c>
      <c r="R30">
        <f t="shared" si="11"/>
        <v>130</v>
      </c>
      <c r="S30" s="3">
        <f t="shared" si="12"/>
        <v>400</v>
      </c>
      <c r="T30">
        <f t="shared" si="13"/>
        <v>220</v>
      </c>
      <c r="U30">
        <f t="shared" si="14"/>
        <v>180</v>
      </c>
      <c r="V30">
        <f t="shared" si="15"/>
        <v>-368</v>
      </c>
      <c r="W30">
        <f t="shared" si="16"/>
        <v>180</v>
      </c>
      <c r="X30">
        <f t="shared" si="17"/>
        <v>400</v>
      </c>
    </row>
    <row r="31" spans="1:24" ht="14.45" x14ac:dyDescent="0.35">
      <c r="A31" s="7">
        <f>B31/(1-Assump!$D$4)</f>
        <v>143.18181818181819</v>
      </c>
      <c r="B31" s="1">
        <v>135</v>
      </c>
      <c r="C31" s="9">
        <f t="shared" si="1"/>
        <v>220</v>
      </c>
      <c r="D31">
        <f t="shared" si="2"/>
        <v>220</v>
      </c>
      <c r="E31">
        <f t="shared" si="3"/>
        <v>-363</v>
      </c>
      <c r="F31">
        <f t="shared" si="4"/>
        <v>180</v>
      </c>
      <c r="G31">
        <f t="shared" si="5"/>
        <v>400</v>
      </c>
      <c r="H31">
        <f t="shared" si="6"/>
        <v>20</v>
      </c>
      <c r="I31">
        <f t="shared" si="10"/>
        <v>160</v>
      </c>
      <c r="J31">
        <f t="shared" si="18"/>
        <v>0</v>
      </c>
      <c r="L31">
        <f t="shared" si="7"/>
        <v>4365</v>
      </c>
      <c r="M31">
        <f t="shared" si="8"/>
        <v>160</v>
      </c>
      <c r="N31" s="9" t="e">
        <f>IF(OR($B31&gt;Assump!$E$9,$B31&lt;HVDC_Received_Max),NA(),NI_demand*2)</f>
        <v>#N/A</v>
      </c>
      <c r="O31">
        <f t="shared" si="9"/>
        <v>4525</v>
      </c>
      <c r="R31">
        <f t="shared" si="11"/>
        <v>135</v>
      </c>
      <c r="S31" s="3">
        <f t="shared" si="12"/>
        <v>400</v>
      </c>
      <c r="T31">
        <f t="shared" si="13"/>
        <v>220</v>
      </c>
      <c r="U31">
        <f t="shared" si="14"/>
        <v>180</v>
      </c>
      <c r="V31">
        <f t="shared" si="15"/>
        <v>-363</v>
      </c>
      <c r="W31">
        <f t="shared" si="16"/>
        <v>180</v>
      </c>
      <c r="X31">
        <f t="shared" si="17"/>
        <v>400</v>
      </c>
    </row>
    <row r="32" spans="1:24" ht="14.45" x14ac:dyDescent="0.35">
      <c r="A32" s="7">
        <f>B32/(1-Assump!$D$4)</f>
        <v>148.4848484848485</v>
      </c>
      <c r="B32" s="1">
        <v>140</v>
      </c>
      <c r="C32" s="9">
        <f t="shared" si="1"/>
        <v>220</v>
      </c>
      <c r="D32">
        <f t="shared" si="2"/>
        <v>220</v>
      </c>
      <c r="E32">
        <f t="shared" si="3"/>
        <v>-358</v>
      </c>
      <c r="F32">
        <f t="shared" si="4"/>
        <v>180</v>
      </c>
      <c r="G32">
        <f t="shared" si="5"/>
        <v>400</v>
      </c>
      <c r="H32">
        <f t="shared" si="6"/>
        <v>20</v>
      </c>
      <c r="I32">
        <f t="shared" si="10"/>
        <v>160</v>
      </c>
      <c r="J32">
        <f t="shared" si="18"/>
        <v>0</v>
      </c>
      <c r="L32">
        <f t="shared" si="7"/>
        <v>4360</v>
      </c>
      <c r="M32">
        <f t="shared" si="8"/>
        <v>160</v>
      </c>
      <c r="N32" s="9" t="e">
        <f>IF(OR($B32&gt;Assump!$E$9,$B32&lt;HVDC_Received_Max),NA(),NI_demand*2)</f>
        <v>#N/A</v>
      </c>
      <c r="O32">
        <f t="shared" si="9"/>
        <v>4520</v>
      </c>
      <c r="R32">
        <f t="shared" si="11"/>
        <v>140</v>
      </c>
      <c r="S32" s="3">
        <f t="shared" si="12"/>
        <v>400</v>
      </c>
      <c r="T32">
        <f t="shared" si="13"/>
        <v>220</v>
      </c>
      <c r="U32">
        <f t="shared" si="14"/>
        <v>180</v>
      </c>
      <c r="V32">
        <f t="shared" si="15"/>
        <v>-358</v>
      </c>
      <c r="W32">
        <f t="shared" si="16"/>
        <v>180</v>
      </c>
      <c r="X32">
        <f t="shared" si="17"/>
        <v>400</v>
      </c>
    </row>
    <row r="33" spans="1:24" ht="14.45" x14ac:dyDescent="0.35">
      <c r="A33" s="7">
        <f>B33/(1-Assump!$D$4)</f>
        <v>153.78787878787878</v>
      </c>
      <c r="B33" s="1">
        <v>145</v>
      </c>
      <c r="C33" s="9">
        <f t="shared" si="1"/>
        <v>220</v>
      </c>
      <c r="D33">
        <f t="shared" si="2"/>
        <v>220</v>
      </c>
      <c r="E33">
        <f t="shared" si="3"/>
        <v>-353</v>
      </c>
      <c r="F33">
        <f t="shared" si="4"/>
        <v>180</v>
      </c>
      <c r="G33">
        <f t="shared" si="5"/>
        <v>400</v>
      </c>
      <c r="H33">
        <f t="shared" si="6"/>
        <v>20</v>
      </c>
      <c r="I33">
        <f t="shared" si="10"/>
        <v>160</v>
      </c>
      <c r="J33">
        <f t="shared" ref="J33:J96" si="19">I33-I32</f>
        <v>0</v>
      </c>
      <c r="L33">
        <f t="shared" si="7"/>
        <v>4355</v>
      </c>
      <c r="M33">
        <f t="shared" si="8"/>
        <v>160</v>
      </c>
      <c r="N33" s="9" t="e">
        <f>IF(OR($B33&gt;Assump!$E$9,$B33&lt;HVDC_Received_Max),NA(),NI_demand*2)</f>
        <v>#N/A</v>
      </c>
      <c r="O33">
        <f t="shared" si="9"/>
        <v>4515</v>
      </c>
      <c r="R33">
        <f t="shared" si="11"/>
        <v>145</v>
      </c>
      <c r="S33" s="3">
        <f t="shared" si="12"/>
        <v>400</v>
      </c>
      <c r="T33">
        <f t="shared" si="13"/>
        <v>220</v>
      </c>
      <c r="U33">
        <f t="shared" si="14"/>
        <v>180</v>
      </c>
      <c r="V33">
        <f t="shared" si="15"/>
        <v>-353</v>
      </c>
      <c r="W33">
        <f t="shared" si="16"/>
        <v>180</v>
      </c>
      <c r="X33">
        <f t="shared" si="17"/>
        <v>400</v>
      </c>
    </row>
    <row r="34" spans="1:24" ht="14.45" x14ac:dyDescent="0.35">
      <c r="A34" s="7">
        <f>B34/(1-Assump!$D$4)</f>
        <v>159.09090909090909</v>
      </c>
      <c r="B34" s="1">
        <v>150</v>
      </c>
      <c r="C34" s="9">
        <f t="shared" si="1"/>
        <v>220</v>
      </c>
      <c r="D34">
        <f t="shared" si="2"/>
        <v>220</v>
      </c>
      <c r="E34">
        <f t="shared" si="3"/>
        <v>-348</v>
      </c>
      <c r="F34">
        <f t="shared" si="4"/>
        <v>180</v>
      </c>
      <c r="G34">
        <f t="shared" si="5"/>
        <v>400</v>
      </c>
      <c r="H34">
        <f t="shared" si="6"/>
        <v>20</v>
      </c>
      <c r="I34">
        <f t="shared" si="10"/>
        <v>160</v>
      </c>
      <c r="J34">
        <f t="shared" si="19"/>
        <v>0</v>
      </c>
      <c r="L34">
        <f t="shared" si="7"/>
        <v>4350</v>
      </c>
      <c r="M34">
        <f t="shared" si="8"/>
        <v>160</v>
      </c>
      <c r="N34" s="9" t="e">
        <f>IF(OR($B34&gt;Assump!$E$9,$B34&lt;HVDC_Received_Max),NA(),NI_demand*2)</f>
        <v>#N/A</v>
      </c>
      <c r="O34">
        <f t="shared" si="9"/>
        <v>4510</v>
      </c>
      <c r="R34">
        <f t="shared" si="11"/>
        <v>150</v>
      </c>
      <c r="S34" s="3">
        <f t="shared" si="12"/>
        <v>400</v>
      </c>
      <c r="T34">
        <f t="shared" si="13"/>
        <v>220</v>
      </c>
      <c r="U34">
        <f t="shared" si="14"/>
        <v>180</v>
      </c>
      <c r="V34">
        <f t="shared" si="15"/>
        <v>-348</v>
      </c>
      <c r="W34">
        <f t="shared" si="16"/>
        <v>180</v>
      </c>
      <c r="X34">
        <f t="shared" si="17"/>
        <v>400</v>
      </c>
    </row>
    <row r="35" spans="1:24" ht="14.45" x14ac:dyDescent="0.35">
      <c r="A35" s="7">
        <f>B35/(1-Assump!$D$4)</f>
        <v>164.39393939393941</v>
      </c>
      <c r="B35" s="1">
        <v>155</v>
      </c>
      <c r="C35" s="9">
        <f t="shared" si="1"/>
        <v>220</v>
      </c>
      <c r="D35">
        <f t="shared" si="2"/>
        <v>220</v>
      </c>
      <c r="E35">
        <f t="shared" si="3"/>
        <v>-343</v>
      </c>
      <c r="F35">
        <f t="shared" si="4"/>
        <v>180</v>
      </c>
      <c r="G35">
        <f t="shared" si="5"/>
        <v>400</v>
      </c>
      <c r="H35">
        <f t="shared" si="6"/>
        <v>20</v>
      </c>
      <c r="I35">
        <f t="shared" si="10"/>
        <v>160</v>
      </c>
      <c r="J35">
        <f t="shared" si="19"/>
        <v>0</v>
      </c>
      <c r="L35">
        <f t="shared" si="7"/>
        <v>4345</v>
      </c>
      <c r="M35">
        <f t="shared" si="8"/>
        <v>160</v>
      </c>
      <c r="N35" s="9" t="e">
        <f>IF(OR($B35&gt;Assump!$E$9,$B35&lt;HVDC_Received_Max),NA(),NI_demand*2)</f>
        <v>#N/A</v>
      </c>
      <c r="O35">
        <f t="shared" si="9"/>
        <v>4505</v>
      </c>
      <c r="R35">
        <f t="shared" si="11"/>
        <v>155</v>
      </c>
      <c r="S35" s="3">
        <f t="shared" si="12"/>
        <v>400</v>
      </c>
      <c r="T35">
        <f t="shared" si="13"/>
        <v>220</v>
      </c>
      <c r="U35">
        <f t="shared" si="14"/>
        <v>180</v>
      </c>
      <c r="V35">
        <f t="shared" si="15"/>
        <v>-343</v>
      </c>
      <c r="W35">
        <f t="shared" si="16"/>
        <v>180</v>
      </c>
      <c r="X35">
        <f t="shared" si="17"/>
        <v>400</v>
      </c>
    </row>
    <row r="36" spans="1:24" ht="14.45" x14ac:dyDescent="0.35">
      <c r="A36" s="7">
        <f>B36/(1-Assump!$D$4)</f>
        <v>169.69696969696969</v>
      </c>
      <c r="B36" s="1">
        <v>160</v>
      </c>
      <c r="C36" s="9">
        <f t="shared" si="1"/>
        <v>220</v>
      </c>
      <c r="D36">
        <f t="shared" si="2"/>
        <v>220</v>
      </c>
      <c r="E36">
        <f t="shared" si="3"/>
        <v>-338</v>
      </c>
      <c r="F36">
        <f t="shared" si="4"/>
        <v>180</v>
      </c>
      <c r="G36">
        <f t="shared" si="5"/>
        <v>400</v>
      </c>
      <c r="H36">
        <f t="shared" si="6"/>
        <v>20</v>
      </c>
      <c r="I36">
        <f t="shared" si="10"/>
        <v>160</v>
      </c>
      <c r="J36">
        <f t="shared" si="19"/>
        <v>0</v>
      </c>
      <c r="L36">
        <f t="shared" si="7"/>
        <v>4340</v>
      </c>
      <c r="M36">
        <f t="shared" si="8"/>
        <v>160</v>
      </c>
      <c r="N36" s="9" t="e">
        <f>IF(OR($B36&gt;Assump!$E$9,$B36&lt;HVDC_Received_Max),NA(),NI_demand*2)</f>
        <v>#N/A</v>
      </c>
      <c r="O36">
        <f t="shared" si="9"/>
        <v>4500</v>
      </c>
      <c r="R36">
        <f t="shared" si="11"/>
        <v>160</v>
      </c>
      <c r="S36" s="3">
        <f t="shared" si="12"/>
        <v>400</v>
      </c>
      <c r="T36">
        <f t="shared" si="13"/>
        <v>220</v>
      </c>
      <c r="U36">
        <f t="shared" si="14"/>
        <v>180</v>
      </c>
      <c r="V36">
        <f t="shared" si="15"/>
        <v>-338</v>
      </c>
      <c r="W36">
        <f t="shared" si="16"/>
        <v>180</v>
      </c>
      <c r="X36">
        <f t="shared" si="17"/>
        <v>400</v>
      </c>
    </row>
    <row r="37" spans="1:24" ht="14.45" x14ac:dyDescent="0.35">
      <c r="A37" s="7">
        <f>B37/(1-Assump!$D$4)</f>
        <v>175</v>
      </c>
      <c r="B37" s="1">
        <v>165</v>
      </c>
      <c r="C37" s="9">
        <f t="shared" si="1"/>
        <v>220</v>
      </c>
      <c r="D37">
        <f t="shared" si="2"/>
        <v>220</v>
      </c>
      <c r="E37">
        <f t="shared" si="3"/>
        <v>-333</v>
      </c>
      <c r="F37">
        <f t="shared" si="4"/>
        <v>180</v>
      </c>
      <c r="G37">
        <f t="shared" si="5"/>
        <v>400</v>
      </c>
      <c r="H37">
        <f t="shared" si="6"/>
        <v>20</v>
      </c>
      <c r="I37">
        <f t="shared" si="10"/>
        <v>160</v>
      </c>
      <c r="J37">
        <f t="shared" si="19"/>
        <v>0</v>
      </c>
      <c r="L37">
        <f t="shared" si="7"/>
        <v>4335</v>
      </c>
      <c r="M37">
        <f t="shared" si="8"/>
        <v>160</v>
      </c>
      <c r="N37" s="9" t="e">
        <f>IF(OR($B37&gt;Assump!$E$9,$B37&lt;HVDC_Received_Max),NA(),NI_demand*2)</f>
        <v>#N/A</v>
      </c>
      <c r="O37">
        <f t="shared" si="9"/>
        <v>4495</v>
      </c>
      <c r="R37">
        <f t="shared" si="11"/>
        <v>165</v>
      </c>
      <c r="S37" s="3">
        <f t="shared" si="12"/>
        <v>400</v>
      </c>
      <c r="T37">
        <f t="shared" si="13"/>
        <v>220</v>
      </c>
      <c r="U37">
        <f t="shared" si="14"/>
        <v>180</v>
      </c>
      <c r="V37">
        <f t="shared" si="15"/>
        <v>-333</v>
      </c>
      <c r="W37">
        <f t="shared" si="16"/>
        <v>180</v>
      </c>
      <c r="X37">
        <f t="shared" si="17"/>
        <v>400</v>
      </c>
    </row>
    <row r="38" spans="1:24" ht="14.45" x14ac:dyDescent="0.35">
      <c r="A38" s="7">
        <f>B38/(1-Assump!$D$4)</f>
        <v>180.30303030303031</v>
      </c>
      <c r="B38" s="1">
        <v>170</v>
      </c>
      <c r="C38" s="9">
        <f t="shared" si="1"/>
        <v>220</v>
      </c>
      <c r="D38">
        <f t="shared" si="2"/>
        <v>220</v>
      </c>
      <c r="E38">
        <f t="shared" si="3"/>
        <v>-328</v>
      </c>
      <c r="F38">
        <f t="shared" si="4"/>
        <v>180</v>
      </c>
      <c r="G38">
        <f t="shared" si="5"/>
        <v>400</v>
      </c>
      <c r="H38">
        <f t="shared" si="6"/>
        <v>20</v>
      </c>
      <c r="I38">
        <f t="shared" si="10"/>
        <v>160</v>
      </c>
      <c r="J38">
        <f t="shared" si="19"/>
        <v>0</v>
      </c>
      <c r="L38">
        <f t="shared" si="7"/>
        <v>4330</v>
      </c>
      <c r="M38">
        <f t="shared" si="8"/>
        <v>160</v>
      </c>
      <c r="N38" s="9" t="e">
        <f>IF(OR($B38&gt;Assump!$E$9,$B38&lt;HVDC_Received_Max),NA(),NI_demand*2)</f>
        <v>#N/A</v>
      </c>
      <c r="O38">
        <f t="shared" si="9"/>
        <v>4490</v>
      </c>
      <c r="R38">
        <f t="shared" si="11"/>
        <v>170</v>
      </c>
      <c r="S38" s="3">
        <f t="shared" si="12"/>
        <v>400</v>
      </c>
      <c r="T38">
        <f t="shared" si="13"/>
        <v>220</v>
      </c>
      <c r="U38">
        <f t="shared" si="14"/>
        <v>180</v>
      </c>
      <c r="V38">
        <f t="shared" si="15"/>
        <v>-328</v>
      </c>
      <c r="W38">
        <f t="shared" si="16"/>
        <v>180</v>
      </c>
      <c r="X38">
        <f t="shared" si="17"/>
        <v>400</v>
      </c>
    </row>
    <row r="39" spans="1:24" ht="14.45" x14ac:dyDescent="0.35">
      <c r="A39" s="7">
        <f>B39/(1-Assump!$D$4)</f>
        <v>185.60606060606062</v>
      </c>
      <c r="B39" s="1">
        <v>175</v>
      </c>
      <c r="C39" s="9">
        <f t="shared" si="1"/>
        <v>220</v>
      </c>
      <c r="D39">
        <f t="shared" si="2"/>
        <v>220</v>
      </c>
      <c r="E39">
        <f t="shared" si="3"/>
        <v>-323</v>
      </c>
      <c r="F39">
        <f t="shared" si="4"/>
        <v>180</v>
      </c>
      <c r="G39">
        <f t="shared" si="5"/>
        <v>400</v>
      </c>
      <c r="H39">
        <f t="shared" si="6"/>
        <v>20</v>
      </c>
      <c r="I39">
        <f t="shared" si="10"/>
        <v>160</v>
      </c>
      <c r="J39">
        <f t="shared" si="19"/>
        <v>0</v>
      </c>
      <c r="L39">
        <f t="shared" si="7"/>
        <v>4325</v>
      </c>
      <c r="M39">
        <f t="shared" si="8"/>
        <v>160</v>
      </c>
      <c r="N39" s="9" t="e">
        <f>IF(OR($B39&gt;Assump!$E$9,$B39&lt;HVDC_Received_Max),NA(),NI_demand*2)</f>
        <v>#N/A</v>
      </c>
      <c r="O39">
        <f t="shared" si="9"/>
        <v>4485</v>
      </c>
      <c r="R39">
        <f t="shared" si="11"/>
        <v>175</v>
      </c>
      <c r="S39" s="3">
        <f t="shared" si="12"/>
        <v>400</v>
      </c>
      <c r="T39">
        <f t="shared" si="13"/>
        <v>220</v>
      </c>
      <c r="U39">
        <f t="shared" si="14"/>
        <v>180</v>
      </c>
      <c r="V39">
        <f t="shared" si="15"/>
        <v>-323</v>
      </c>
      <c r="W39">
        <f t="shared" si="16"/>
        <v>180</v>
      </c>
      <c r="X39">
        <f t="shared" si="17"/>
        <v>400</v>
      </c>
    </row>
    <row r="40" spans="1:24" ht="14.45" x14ac:dyDescent="0.35">
      <c r="A40" s="7">
        <f>B40/(1-Assump!$D$4)</f>
        <v>190.90909090909091</v>
      </c>
      <c r="B40" s="1">
        <v>180</v>
      </c>
      <c r="C40" s="9">
        <f t="shared" si="1"/>
        <v>220</v>
      </c>
      <c r="D40">
        <f t="shared" si="2"/>
        <v>220</v>
      </c>
      <c r="E40">
        <f t="shared" si="3"/>
        <v>-318</v>
      </c>
      <c r="F40">
        <f t="shared" si="4"/>
        <v>180</v>
      </c>
      <c r="G40">
        <f t="shared" si="5"/>
        <v>400</v>
      </c>
      <c r="H40">
        <f t="shared" si="6"/>
        <v>20</v>
      </c>
      <c r="I40">
        <f t="shared" si="10"/>
        <v>160</v>
      </c>
      <c r="J40">
        <f t="shared" si="19"/>
        <v>0</v>
      </c>
      <c r="L40">
        <f t="shared" si="7"/>
        <v>4320</v>
      </c>
      <c r="M40">
        <f t="shared" si="8"/>
        <v>160</v>
      </c>
      <c r="N40" s="9" t="e">
        <f>IF(OR($B40&gt;Assump!$E$9,$B40&lt;HVDC_Received_Max),NA(),NI_demand*2)</f>
        <v>#N/A</v>
      </c>
      <c r="O40">
        <f t="shared" si="9"/>
        <v>4480</v>
      </c>
      <c r="R40">
        <f t="shared" si="11"/>
        <v>180</v>
      </c>
      <c r="S40" s="3">
        <f t="shared" si="12"/>
        <v>400</v>
      </c>
      <c r="T40">
        <f t="shared" si="13"/>
        <v>220</v>
      </c>
      <c r="U40">
        <f t="shared" si="14"/>
        <v>180</v>
      </c>
      <c r="V40">
        <f t="shared" si="15"/>
        <v>-318</v>
      </c>
      <c r="W40">
        <f t="shared" si="16"/>
        <v>180</v>
      </c>
      <c r="X40">
        <f t="shared" si="17"/>
        <v>400</v>
      </c>
    </row>
    <row r="41" spans="1:24" ht="14.45" x14ac:dyDescent="0.35">
      <c r="A41" s="7">
        <f>B41/(1-Assump!$D$4)</f>
        <v>196.21212121212122</v>
      </c>
      <c r="B41" s="1">
        <v>185</v>
      </c>
      <c r="C41" s="9">
        <f t="shared" si="1"/>
        <v>220</v>
      </c>
      <c r="D41">
        <f t="shared" si="2"/>
        <v>220</v>
      </c>
      <c r="E41">
        <f t="shared" si="3"/>
        <v>-313</v>
      </c>
      <c r="F41">
        <f t="shared" si="4"/>
        <v>180</v>
      </c>
      <c r="G41">
        <f t="shared" si="5"/>
        <v>400</v>
      </c>
      <c r="H41">
        <f t="shared" si="6"/>
        <v>20</v>
      </c>
      <c r="I41">
        <f t="shared" si="10"/>
        <v>160</v>
      </c>
      <c r="J41">
        <f t="shared" si="19"/>
        <v>0</v>
      </c>
      <c r="L41">
        <f t="shared" si="7"/>
        <v>4315</v>
      </c>
      <c r="M41">
        <f t="shared" si="8"/>
        <v>160</v>
      </c>
      <c r="N41" s="9" t="e">
        <f>IF(OR($B41&gt;Assump!$E$9,$B41&lt;HVDC_Received_Max),NA(),NI_demand*2)</f>
        <v>#N/A</v>
      </c>
      <c r="O41">
        <f t="shared" si="9"/>
        <v>4475</v>
      </c>
      <c r="R41">
        <f t="shared" si="11"/>
        <v>185</v>
      </c>
      <c r="S41" s="3">
        <f t="shared" si="12"/>
        <v>400</v>
      </c>
      <c r="T41">
        <f t="shared" si="13"/>
        <v>220</v>
      </c>
      <c r="U41">
        <f t="shared" si="14"/>
        <v>180</v>
      </c>
      <c r="V41">
        <f t="shared" si="15"/>
        <v>-313</v>
      </c>
      <c r="W41">
        <f t="shared" si="16"/>
        <v>180</v>
      </c>
      <c r="X41">
        <f t="shared" si="17"/>
        <v>400</v>
      </c>
    </row>
    <row r="42" spans="1:24" ht="14.45" x14ac:dyDescent="0.35">
      <c r="A42" s="7">
        <f>B42/(1-Assump!$D$4)</f>
        <v>201.51515151515153</v>
      </c>
      <c r="B42" s="1">
        <v>190</v>
      </c>
      <c r="C42" s="9">
        <f t="shared" si="1"/>
        <v>220</v>
      </c>
      <c r="D42">
        <f t="shared" si="2"/>
        <v>220</v>
      </c>
      <c r="E42">
        <f t="shared" si="3"/>
        <v>-308</v>
      </c>
      <c r="F42">
        <f t="shared" si="4"/>
        <v>180</v>
      </c>
      <c r="G42">
        <f t="shared" si="5"/>
        <v>400</v>
      </c>
      <c r="H42">
        <f t="shared" si="6"/>
        <v>20</v>
      </c>
      <c r="I42">
        <f t="shared" si="10"/>
        <v>160</v>
      </c>
      <c r="J42">
        <f t="shared" si="19"/>
        <v>0</v>
      </c>
      <c r="L42">
        <f t="shared" si="7"/>
        <v>4310</v>
      </c>
      <c r="M42">
        <f t="shared" si="8"/>
        <v>160</v>
      </c>
      <c r="N42" s="9" t="e">
        <f>IF(OR($B42&gt;Assump!$E$9,$B42&lt;HVDC_Received_Max),NA(),NI_demand*2)</f>
        <v>#N/A</v>
      </c>
      <c r="O42">
        <f t="shared" si="9"/>
        <v>4470</v>
      </c>
      <c r="R42">
        <f t="shared" si="11"/>
        <v>190</v>
      </c>
      <c r="S42" s="3">
        <f t="shared" si="12"/>
        <v>400</v>
      </c>
      <c r="T42">
        <f t="shared" si="13"/>
        <v>220</v>
      </c>
      <c r="U42">
        <f t="shared" si="14"/>
        <v>180</v>
      </c>
      <c r="V42">
        <f t="shared" si="15"/>
        <v>-308</v>
      </c>
      <c r="W42">
        <f t="shared" si="16"/>
        <v>180</v>
      </c>
      <c r="X42">
        <f t="shared" si="17"/>
        <v>400</v>
      </c>
    </row>
    <row r="43" spans="1:24" ht="14.45" x14ac:dyDescent="0.35">
      <c r="A43" s="7">
        <f>B43/(1-Assump!$D$4)</f>
        <v>206.81818181818181</v>
      </c>
      <c r="B43" s="1">
        <v>195</v>
      </c>
      <c r="C43" s="9">
        <f t="shared" si="1"/>
        <v>220</v>
      </c>
      <c r="D43">
        <f t="shared" si="2"/>
        <v>220</v>
      </c>
      <c r="E43">
        <f t="shared" si="3"/>
        <v>-303</v>
      </c>
      <c r="F43">
        <f t="shared" si="4"/>
        <v>180</v>
      </c>
      <c r="G43">
        <f t="shared" si="5"/>
        <v>400</v>
      </c>
      <c r="H43">
        <f t="shared" si="6"/>
        <v>20</v>
      </c>
      <c r="I43">
        <f t="shared" si="10"/>
        <v>160</v>
      </c>
      <c r="J43">
        <f t="shared" si="19"/>
        <v>0</v>
      </c>
      <c r="L43">
        <f t="shared" si="7"/>
        <v>4305</v>
      </c>
      <c r="M43">
        <f t="shared" si="8"/>
        <v>160</v>
      </c>
      <c r="N43" s="9" t="e">
        <f>IF(OR($B43&gt;Assump!$E$9,$B43&lt;HVDC_Received_Max),NA(),NI_demand*2)</f>
        <v>#N/A</v>
      </c>
      <c r="O43">
        <f t="shared" si="9"/>
        <v>4465</v>
      </c>
      <c r="R43">
        <f t="shared" si="11"/>
        <v>195</v>
      </c>
      <c r="S43" s="3">
        <f t="shared" si="12"/>
        <v>400</v>
      </c>
      <c r="T43">
        <f t="shared" si="13"/>
        <v>220</v>
      </c>
      <c r="U43">
        <f t="shared" si="14"/>
        <v>180</v>
      </c>
      <c r="V43">
        <f t="shared" si="15"/>
        <v>-303</v>
      </c>
      <c r="W43">
        <f t="shared" si="16"/>
        <v>180</v>
      </c>
      <c r="X43">
        <f t="shared" si="17"/>
        <v>400</v>
      </c>
    </row>
    <row r="44" spans="1:24" ht="14.45" x14ac:dyDescent="0.35">
      <c r="A44" s="7">
        <f>B44/(1-Assump!$D$4)</f>
        <v>212.12121212121212</v>
      </c>
      <c r="B44" s="1">
        <v>200</v>
      </c>
      <c r="C44" s="9">
        <f t="shared" si="1"/>
        <v>220</v>
      </c>
      <c r="D44">
        <f t="shared" si="2"/>
        <v>220</v>
      </c>
      <c r="E44">
        <f t="shared" si="3"/>
        <v>-298</v>
      </c>
      <c r="F44">
        <f t="shared" si="4"/>
        <v>180</v>
      </c>
      <c r="G44">
        <f t="shared" si="5"/>
        <v>400</v>
      </c>
      <c r="H44">
        <f t="shared" si="6"/>
        <v>20</v>
      </c>
      <c r="I44">
        <f t="shared" si="10"/>
        <v>160</v>
      </c>
      <c r="J44">
        <f t="shared" si="19"/>
        <v>0</v>
      </c>
      <c r="L44">
        <f t="shared" si="7"/>
        <v>4300</v>
      </c>
      <c r="M44">
        <f t="shared" si="8"/>
        <v>160</v>
      </c>
      <c r="N44" s="9" t="e">
        <f>IF(OR($B44&gt;Assump!$E$9,$B44&lt;HVDC_Received_Max),NA(),NI_demand*2)</f>
        <v>#N/A</v>
      </c>
      <c r="O44">
        <f t="shared" si="9"/>
        <v>4460</v>
      </c>
      <c r="R44">
        <f t="shared" si="11"/>
        <v>200</v>
      </c>
      <c r="S44" s="3">
        <f t="shared" si="12"/>
        <v>400</v>
      </c>
      <c r="T44">
        <f t="shared" si="13"/>
        <v>220</v>
      </c>
      <c r="U44">
        <f t="shared" si="14"/>
        <v>180</v>
      </c>
      <c r="V44">
        <f t="shared" si="15"/>
        <v>-298</v>
      </c>
      <c r="W44">
        <f t="shared" si="16"/>
        <v>180</v>
      </c>
      <c r="X44">
        <f t="shared" si="17"/>
        <v>400</v>
      </c>
    </row>
    <row r="45" spans="1:24" ht="14.45" x14ac:dyDescent="0.35">
      <c r="A45" s="7">
        <f>B45/(1-Assump!$D$4)</f>
        <v>217.42424242424244</v>
      </c>
      <c r="B45" s="1">
        <v>205</v>
      </c>
      <c r="C45" s="9">
        <f t="shared" si="1"/>
        <v>220</v>
      </c>
      <c r="D45">
        <f t="shared" si="2"/>
        <v>220</v>
      </c>
      <c r="E45">
        <f t="shared" si="3"/>
        <v>-293</v>
      </c>
      <c r="F45">
        <f t="shared" si="4"/>
        <v>180</v>
      </c>
      <c r="G45">
        <f t="shared" si="5"/>
        <v>400</v>
      </c>
      <c r="H45">
        <f t="shared" si="6"/>
        <v>20</v>
      </c>
      <c r="I45">
        <f t="shared" si="10"/>
        <v>160</v>
      </c>
      <c r="J45">
        <f t="shared" si="19"/>
        <v>0</v>
      </c>
      <c r="L45">
        <f t="shared" si="7"/>
        <v>4295</v>
      </c>
      <c r="M45">
        <f t="shared" si="8"/>
        <v>160</v>
      </c>
      <c r="N45" s="9" t="e">
        <f>IF(OR($B45&gt;Assump!$E$9,$B45&lt;HVDC_Received_Max),NA(),NI_demand*2)</f>
        <v>#N/A</v>
      </c>
      <c r="O45">
        <f t="shared" si="9"/>
        <v>4455</v>
      </c>
      <c r="R45">
        <f t="shared" si="11"/>
        <v>205</v>
      </c>
      <c r="S45" s="3">
        <f t="shared" si="12"/>
        <v>400</v>
      </c>
      <c r="T45">
        <f t="shared" si="13"/>
        <v>220</v>
      </c>
      <c r="U45">
        <f t="shared" si="14"/>
        <v>180</v>
      </c>
      <c r="V45">
        <f t="shared" si="15"/>
        <v>-293</v>
      </c>
      <c r="W45">
        <f t="shared" si="16"/>
        <v>180</v>
      </c>
      <c r="X45">
        <f t="shared" si="17"/>
        <v>400</v>
      </c>
    </row>
    <row r="46" spans="1:24" ht="14.45" x14ac:dyDescent="0.35">
      <c r="A46" s="7">
        <f>B46/(1-Assump!$D$4)</f>
        <v>222.72727272727272</v>
      </c>
      <c r="B46" s="1">
        <v>210</v>
      </c>
      <c r="C46" s="9">
        <f t="shared" si="1"/>
        <v>220</v>
      </c>
      <c r="D46">
        <f t="shared" si="2"/>
        <v>220</v>
      </c>
      <c r="E46">
        <f t="shared" si="3"/>
        <v>-288</v>
      </c>
      <c r="F46">
        <f t="shared" si="4"/>
        <v>180</v>
      </c>
      <c r="G46">
        <f t="shared" si="5"/>
        <v>400</v>
      </c>
      <c r="H46">
        <f t="shared" si="6"/>
        <v>20</v>
      </c>
      <c r="I46">
        <f t="shared" si="10"/>
        <v>160</v>
      </c>
      <c r="J46">
        <f t="shared" si="19"/>
        <v>0</v>
      </c>
      <c r="L46">
        <f t="shared" si="7"/>
        <v>4290</v>
      </c>
      <c r="M46">
        <f t="shared" si="8"/>
        <v>160</v>
      </c>
      <c r="N46" s="9" t="e">
        <f>IF(OR($B46&gt;Assump!$E$9,$B46&lt;HVDC_Received_Max),NA(),NI_demand*2)</f>
        <v>#N/A</v>
      </c>
      <c r="O46">
        <f t="shared" si="9"/>
        <v>4450</v>
      </c>
      <c r="R46">
        <f t="shared" si="11"/>
        <v>210</v>
      </c>
      <c r="S46" s="3">
        <f t="shared" si="12"/>
        <v>400</v>
      </c>
      <c r="T46">
        <f t="shared" si="13"/>
        <v>220</v>
      </c>
      <c r="U46">
        <f t="shared" si="14"/>
        <v>180</v>
      </c>
      <c r="V46">
        <f t="shared" si="15"/>
        <v>-288</v>
      </c>
      <c r="W46">
        <f t="shared" si="16"/>
        <v>180</v>
      </c>
      <c r="X46">
        <f t="shared" si="17"/>
        <v>400</v>
      </c>
    </row>
    <row r="47" spans="1:24" ht="14.45" x14ac:dyDescent="0.35">
      <c r="A47" s="7">
        <f>B47/(1-Assump!$D$4)</f>
        <v>228.03030303030303</v>
      </c>
      <c r="B47" s="1">
        <v>215</v>
      </c>
      <c r="C47" s="9">
        <f t="shared" si="1"/>
        <v>220</v>
      </c>
      <c r="D47">
        <f t="shared" si="2"/>
        <v>220</v>
      </c>
      <c r="E47">
        <f t="shared" si="3"/>
        <v>-283</v>
      </c>
      <c r="F47">
        <f t="shared" si="4"/>
        <v>180</v>
      </c>
      <c r="G47">
        <f t="shared" si="5"/>
        <v>400</v>
      </c>
      <c r="H47">
        <f t="shared" si="6"/>
        <v>20</v>
      </c>
      <c r="I47">
        <f t="shared" si="10"/>
        <v>160</v>
      </c>
      <c r="J47">
        <f t="shared" si="19"/>
        <v>0</v>
      </c>
      <c r="L47">
        <f t="shared" si="7"/>
        <v>4285</v>
      </c>
      <c r="M47">
        <f t="shared" si="8"/>
        <v>160</v>
      </c>
      <c r="N47" s="9" t="e">
        <f>IF(OR($B47&gt;Assump!$E$9,$B47&lt;HVDC_Received_Max),NA(),NI_demand*2)</f>
        <v>#N/A</v>
      </c>
      <c r="O47">
        <f t="shared" si="9"/>
        <v>4445</v>
      </c>
      <c r="R47">
        <f t="shared" si="11"/>
        <v>215</v>
      </c>
      <c r="S47" s="3">
        <f t="shared" si="12"/>
        <v>400</v>
      </c>
      <c r="T47">
        <f t="shared" si="13"/>
        <v>220</v>
      </c>
      <c r="U47">
        <f t="shared" si="14"/>
        <v>180</v>
      </c>
      <c r="V47">
        <f t="shared" si="15"/>
        <v>-283</v>
      </c>
      <c r="W47">
        <f t="shared" si="16"/>
        <v>180</v>
      </c>
      <c r="X47">
        <f t="shared" si="17"/>
        <v>400</v>
      </c>
    </row>
    <row r="48" spans="1:24" ht="14.45" x14ac:dyDescent="0.35">
      <c r="A48" s="7">
        <f>B48/(1-Assump!$D$4)</f>
        <v>233.33333333333334</v>
      </c>
      <c r="B48" s="1">
        <v>220</v>
      </c>
      <c r="C48" s="9">
        <f t="shared" si="1"/>
        <v>220</v>
      </c>
      <c r="D48">
        <f t="shared" si="2"/>
        <v>220</v>
      </c>
      <c r="E48">
        <f t="shared" si="3"/>
        <v>-278</v>
      </c>
      <c r="F48">
        <f t="shared" si="4"/>
        <v>180</v>
      </c>
      <c r="G48">
        <f t="shared" si="5"/>
        <v>400</v>
      </c>
      <c r="H48">
        <f t="shared" si="6"/>
        <v>20</v>
      </c>
      <c r="I48">
        <f t="shared" si="10"/>
        <v>160</v>
      </c>
      <c r="J48">
        <f t="shared" si="19"/>
        <v>0</v>
      </c>
      <c r="L48">
        <f t="shared" si="7"/>
        <v>4280</v>
      </c>
      <c r="M48">
        <f t="shared" si="8"/>
        <v>160</v>
      </c>
      <c r="N48" s="9" t="e">
        <f>IF(OR($B48&gt;Assump!$E$9,$B48&lt;HVDC_Received_Max),NA(),NI_demand*2)</f>
        <v>#N/A</v>
      </c>
      <c r="O48">
        <f t="shared" si="9"/>
        <v>4440</v>
      </c>
      <c r="R48">
        <f t="shared" si="11"/>
        <v>220</v>
      </c>
      <c r="S48" s="3">
        <f t="shared" si="12"/>
        <v>400</v>
      </c>
      <c r="T48">
        <f t="shared" si="13"/>
        <v>220</v>
      </c>
      <c r="U48">
        <f t="shared" si="14"/>
        <v>180</v>
      </c>
      <c r="V48">
        <f t="shared" si="15"/>
        <v>-278</v>
      </c>
      <c r="W48">
        <f t="shared" si="16"/>
        <v>180</v>
      </c>
      <c r="X48">
        <f t="shared" si="17"/>
        <v>400</v>
      </c>
    </row>
    <row r="49" spans="1:24" ht="14.45" x14ac:dyDescent="0.35">
      <c r="A49" s="7">
        <f>B49/(1-Assump!$D$4)</f>
        <v>238.63636363636365</v>
      </c>
      <c r="B49" s="1">
        <v>225</v>
      </c>
      <c r="C49" s="9">
        <f t="shared" si="1"/>
        <v>220</v>
      </c>
      <c r="D49">
        <f t="shared" si="2"/>
        <v>220</v>
      </c>
      <c r="E49">
        <f t="shared" si="3"/>
        <v>-273</v>
      </c>
      <c r="F49">
        <f t="shared" si="4"/>
        <v>180</v>
      </c>
      <c r="G49">
        <f t="shared" si="5"/>
        <v>400</v>
      </c>
      <c r="H49">
        <f t="shared" si="6"/>
        <v>20</v>
      </c>
      <c r="I49">
        <f t="shared" si="10"/>
        <v>160</v>
      </c>
      <c r="J49">
        <f t="shared" si="19"/>
        <v>0</v>
      </c>
      <c r="L49">
        <f t="shared" si="7"/>
        <v>4275</v>
      </c>
      <c r="M49">
        <f t="shared" si="8"/>
        <v>160</v>
      </c>
      <c r="N49" s="9" t="e">
        <f>IF(OR($B49&gt;Assump!$E$9,$B49&lt;HVDC_Received_Max),NA(),NI_demand*2)</f>
        <v>#N/A</v>
      </c>
      <c r="O49">
        <f t="shared" si="9"/>
        <v>4435</v>
      </c>
      <c r="R49">
        <f t="shared" si="11"/>
        <v>225</v>
      </c>
      <c r="S49" s="3">
        <f t="shared" si="12"/>
        <v>400</v>
      </c>
      <c r="T49">
        <f t="shared" si="13"/>
        <v>220</v>
      </c>
      <c r="U49">
        <f t="shared" si="14"/>
        <v>180</v>
      </c>
      <c r="V49">
        <f t="shared" si="15"/>
        <v>-273</v>
      </c>
      <c r="W49">
        <f t="shared" si="16"/>
        <v>180</v>
      </c>
      <c r="X49">
        <f t="shared" si="17"/>
        <v>400</v>
      </c>
    </row>
    <row r="50" spans="1:24" ht="14.45" x14ac:dyDescent="0.35">
      <c r="A50" s="7">
        <f>B50/(1-Assump!$D$4)</f>
        <v>243.93939393939394</v>
      </c>
      <c r="B50" s="1">
        <v>230</v>
      </c>
      <c r="C50" s="9">
        <f t="shared" si="1"/>
        <v>220</v>
      </c>
      <c r="D50">
        <f t="shared" si="2"/>
        <v>220</v>
      </c>
      <c r="E50">
        <f t="shared" si="3"/>
        <v>-268</v>
      </c>
      <c r="F50">
        <f t="shared" si="4"/>
        <v>180</v>
      </c>
      <c r="G50">
        <f t="shared" si="5"/>
        <v>400</v>
      </c>
      <c r="H50">
        <f t="shared" si="6"/>
        <v>20</v>
      </c>
      <c r="I50">
        <f t="shared" si="10"/>
        <v>160</v>
      </c>
      <c r="J50">
        <f t="shared" si="19"/>
        <v>0</v>
      </c>
      <c r="L50">
        <f t="shared" si="7"/>
        <v>4270</v>
      </c>
      <c r="M50">
        <f t="shared" si="8"/>
        <v>160</v>
      </c>
      <c r="N50" s="9" t="e">
        <f>IF(OR($B50&gt;Assump!$E$9,$B50&lt;HVDC_Received_Max),NA(),NI_demand*2)</f>
        <v>#N/A</v>
      </c>
      <c r="O50">
        <f t="shared" si="9"/>
        <v>4430</v>
      </c>
      <c r="R50">
        <f t="shared" si="11"/>
        <v>230</v>
      </c>
      <c r="S50" s="3">
        <f t="shared" si="12"/>
        <v>400</v>
      </c>
      <c r="T50">
        <f t="shared" si="13"/>
        <v>220</v>
      </c>
      <c r="U50">
        <f t="shared" si="14"/>
        <v>180</v>
      </c>
      <c r="V50">
        <f t="shared" si="15"/>
        <v>-268</v>
      </c>
      <c r="W50">
        <f t="shared" si="16"/>
        <v>180</v>
      </c>
      <c r="X50">
        <f t="shared" si="17"/>
        <v>400</v>
      </c>
    </row>
    <row r="51" spans="1:24" ht="14.45" x14ac:dyDescent="0.35">
      <c r="A51" s="7">
        <f>B51/(1-Assump!$D$4)</f>
        <v>249.24242424242425</v>
      </c>
      <c r="B51" s="1">
        <v>235</v>
      </c>
      <c r="C51" s="9">
        <f t="shared" si="1"/>
        <v>220</v>
      </c>
      <c r="D51">
        <f t="shared" si="2"/>
        <v>220</v>
      </c>
      <c r="E51">
        <f t="shared" si="3"/>
        <v>-263</v>
      </c>
      <c r="F51">
        <f t="shared" si="4"/>
        <v>180</v>
      </c>
      <c r="G51">
        <f t="shared" si="5"/>
        <v>400</v>
      </c>
      <c r="H51">
        <f t="shared" si="6"/>
        <v>20</v>
      </c>
      <c r="I51">
        <f t="shared" si="10"/>
        <v>160</v>
      </c>
      <c r="J51">
        <f t="shared" si="19"/>
        <v>0</v>
      </c>
      <c r="L51">
        <f t="shared" si="7"/>
        <v>4265</v>
      </c>
      <c r="M51">
        <f t="shared" si="8"/>
        <v>160</v>
      </c>
      <c r="N51" s="9" t="e">
        <f>IF(OR($B51&gt;Assump!$E$9,$B51&lt;HVDC_Received_Max),NA(),NI_demand*2)</f>
        <v>#N/A</v>
      </c>
      <c r="O51">
        <f t="shared" si="9"/>
        <v>4425</v>
      </c>
      <c r="R51">
        <f t="shared" si="11"/>
        <v>235</v>
      </c>
      <c r="S51" s="3">
        <f t="shared" si="12"/>
        <v>400</v>
      </c>
      <c r="T51">
        <f t="shared" si="13"/>
        <v>220</v>
      </c>
      <c r="U51">
        <f t="shared" si="14"/>
        <v>180</v>
      </c>
      <c r="V51">
        <f t="shared" si="15"/>
        <v>-263</v>
      </c>
      <c r="W51">
        <f t="shared" si="16"/>
        <v>180</v>
      </c>
      <c r="X51">
        <f t="shared" si="17"/>
        <v>400</v>
      </c>
    </row>
    <row r="52" spans="1:24" ht="14.45" x14ac:dyDescent="0.35">
      <c r="A52" s="7">
        <f>B52/(1-Assump!$D$4)</f>
        <v>254.54545454545456</v>
      </c>
      <c r="B52" s="1">
        <v>240</v>
      </c>
      <c r="C52" s="9">
        <f t="shared" si="1"/>
        <v>220</v>
      </c>
      <c r="D52">
        <f t="shared" si="2"/>
        <v>220</v>
      </c>
      <c r="E52">
        <f t="shared" si="3"/>
        <v>-258</v>
      </c>
      <c r="F52">
        <f t="shared" si="4"/>
        <v>180</v>
      </c>
      <c r="G52">
        <f t="shared" si="5"/>
        <v>400</v>
      </c>
      <c r="H52">
        <f t="shared" si="6"/>
        <v>20</v>
      </c>
      <c r="I52">
        <f t="shared" si="10"/>
        <v>160</v>
      </c>
      <c r="J52">
        <f t="shared" si="19"/>
        <v>0</v>
      </c>
      <c r="L52">
        <f t="shared" si="7"/>
        <v>4260</v>
      </c>
      <c r="M52">
        <f t="shared" si="8"/>
        <v>160</v>
      </c>
      <c r="N52" s="9" t="e">
        <f>IF(OR($B52&gt;Assump!$E$9,$B52&lt;HVDC_Received_Max),NA(),NI_demand*2)</f>
        <v>#N/A</v>
      </c>
      <c r="O52">
        <f t="shared" si="9"/>
        <v>4420</v>
      </c>
      <c r="R52">
        <f t="shared" si="11"/>
        <v>240</v>
      </c>
      <c r="S52" s="3">
        <f t="shared" si="12"/>
        <v>400</v>
      </c>
      <c r="T52">
        <f t="shared" si="13"/>
        <v>220</v>
      </c>
      <c r="U52">
        <f t="shared" si="14"/>
        <v>180</v>
      </c>
      <c r="V52">
        <f t="shared" si="15"/>
        <v>-258</v>
      </c>
      <c r="W52">
        <f t="shared" si="16"/>
        <v>180</v>
      </c>
      <c r="X52">
        <f t="shared" si="17"/>
        <v>400</v>
      </c>
    </row>
    <row r="53" spans="1:24" ht="14.45" x14ac:dyDescent="0.35">
      <c r="A53" s="7">
        <f>B53/(1-Assump!$D$4)</f>
        <v>259.84848484848487</v>
      </c>
      <c r="B53" s="1">
        <v>245</v>
      </c>
      <c r="C53" s="9">
        <f t="shared" si="1"/>
        <v>220</v>
      </c>
      <c r="D53">
        <f t="shared" si="2"/>
        <v>220</v>
      </c>
      <c r="E53">
        <f t="shared" si="3"/>
        <v>-253</v>
      </c>
      <c r="F53">
        <f t="shared" si="4"/>
        <v>180</v>
      </c>
      <c r="G53">
        <f t="shared" si="5"/>
        <v>400</v>
      </c>
      <c r="H53">
        <f t="shared" si="6"/>
        <v>20</v>
      </c>
      <c r="I53">
        <f t="shared" si="10"/>
        <v>160</v>
      </c>
      <c r="J53">
        <f t="shared" si="19"/>
        <v>0</v>
      </c>
      <c r="L53">
        <f t="shared" si="7"/>
        <v>4255</v>
      </c>
      <c r="M53">
        <f t="shared" si="8"/>
        <v>160</v>
      </c>
      <c r="N53" s="9" t="e">
        <f>IF(OR($B53&gt;Assump!$E$9,$B53&lt;HVDC_Received_Max),NA(),NI_demand*2)</f>
        <v>#N/A</v>
      </c>
      <c r="O53">
        <f t="shared" si="9"/>
        <v>4415</v>
      </c>
      <c r="R53">
        <f t="shared" si="11"/>
        <v>245</v>
      </c>
      <c r="S53" s="3">
        <f t="shared" si="12"/>
        <v>400</v>
      </c>
      <c r="T53">
        <f t="shared" si="13"/>
        <v>220</v>
      </c>
      <c r="U53">
        <f t="shared" si="14"/>
        <v>180</v>
      </c>
      <c r="V53">
        <f t="shared" si="15"/>
        <v>-253</v>
      </c>
      <c r="W53">
        <f t="shared" si="16"/>
        <v>180</v>
      </c>
      <c r="X53">
        <f t="shared" si="17"/>
        <v>400</v>
      </c>
    </row>
    <row r="54" spans="1:24" ht="14.45" x14ac:dyDescent="0.35">
      <c r="A54" s="7">
        <f>B54/(1-Assump!$D$4)</f>
        <v>265.15151515151518</v>
      </c>
      <c r="B54" s="1">
        <v>250</v>
      </c>
      <c r="C54" s="9">
        <f t="shared" si="1"/>
        <v>220</v>
      </c>
      <c r="D54">
        <f t="shared" si="2"/>
        <v>220</v>
      </c>
      <c r="E54">
        <f t="shared" si="3"/>
        <v>-248</v>
      </c>
      <c r="F54">
        <f t="shared" si="4"/>
        <v>180</v>
      </c>
      <c r="G54">
        <f t="shared" si="5"/>
        <v>400</v>
      </c>
      <c r="H54">
        <f t="shared" si="6"/>
        <v>20</v>
      </c>
      <c r="I54">
        <f t="shared" si="10"/>
        <v>160</v>
      </c>
      <c r="J54">
        <f t="shared" si="19"/>
        <v>0</v>
      </c>
      <c r="L54">
        <f t="shared" si="7"/>
        <v>4250</v>
      </c>
      <c r="M54">
        <f t="shared" si="8"/>
        <v>160</v>
      </c>
      <c r="N54" s="9" t="e">
        <f>IF(OR($B54&gt;Assump!$E$9,$B54&lt;HVDC_Received_Max),NA(),NI_demand*2)</f>
        <v>#N/A</v>
      </c>
      <c r="O54">
        <f t="shared" si="9"/>
        <v>4410</v>
      </c>
      <c r="R54">
        <f t="shared" si="11"/>
        <v>250</v>
      </c>
      <c r="S54" s="3">
        <f t="shared" si="12"/>
        <v>400</v>
      </c>
      <c r="T54">
        <f t="shared" si="13"/>
        <v>220</v>
      </c>
      <c r="U54">
        <f t="shared" si="14"/>
        <v>180</v>
      </c>
      <c r="V54">
        <f t="shared" si="15"/>
        <v>-248</v>
      </c>
      <c r="W54">
        <f t="shared" si="16"/>
        <v>180</v>
      </c>
      <c r="X54">
        <f t="shared" si="17"/>
        <v>400</v>
      </c>
    </row>
    <row r="55" spans="1:24" ht="14.45" x14ac:dyDescent="0.35">
      <c r="A55" s="7">
        <f>B55/(1-Assump!$D$4)</f>
        <v>270.45454545454544</v>
      </c>
      <c r="B55" s="1">
        <v>255</v>
      </c>
      <c r="C55" s="9">
        <f t="shared" si="1"/>
        <v>220</v>
      </c>
      <c r="D55">
        <f t="shared" si="2"/>
        <v>220</v>
      </c>
      <c r="E55">
        <f t="shared" si="3"/>
        <v>-243</v>
      </c>
      <c r="F55">
        <f t="shared" si="4"/>
        <v>180</v>
      </c>
      <c r="G55">
        <f t="shared" si="5"/>
        <v>400</v>
      </c>
      <c r="H55">
        <f t="shared" si="6"/>
        <v>20</v>
      </c>
      <c r="I55">
        <f t="shared" si="10"/>
        <v>160</v>
      </c>
      <c r="J55">
        <f t="shared" si="19"/>
        <v>0</v>
      </c>
      <c r="L55">
        <f t="shared" si="7"/>
        <v>4245</v>
      </c>
      <c r="M55">
        <f t="shared" si="8"/>
        <v>160</v>
      </c>
      <c r="N55" s="9" t="e">
        <f>IF(OR($B55&gt;Assump!$E$9,$B55&lt;HVDC_Received_Max),NA(),NI_demand*2)</f>
        <v>#N/A</v>
      </c>
      <c r="O55">
        <f t="shared" si="9"/>
        <v>4405</v>
      </c>
      <c r="R55">
        <f t="shared" si="11"/>
        <v>255</v>
      </c>
      <c r="S55" s="3">
        <f t="shared" si="12"/>
        <v>400</v>
      </c>
      <c r="T55">
        <f t="shared" si="13"/>
        <v>220</v>
      </c>
      <c r="U55">
        <f t="shared" si="14"/>
        <v>180</v>
      </c>
      <c r="V55">
        <f t="shared" si="15"/>
        <v>-243</v>
      </c>
      <c r="W55">
        <f t="shared" si="16"/>
        <v>180</v>
      </c>
      <c r="X55">
        <f t="shared" si="17"/>
        <v>400</v>
      </c>
    </row>
    <row r="56" spans="1:24" ht="14.45" x14ac:dyDescent="0.35">
      <c r="A56" s="7">
        <f>B56/(1-Assump!$D$4)</f>
        <v>275.75757575757575</v>
      </c>
      <c r="B56" s="1">
        <v>260</v>
      </c>
      <c r="C56" s="9">
        <f t="shared" si="1"/>
        <v>220</v>
      </c>
      <c r="D56">
        <f t="shared" si="2"/>
        <v>220</v>
      </c>
      <c r="E56">
        <f t="shared" si="3"/>
        <v>-238</v>
      </c>
      <c r="F56">
        <f t="shared" si="4"/>
        <v>180</v>
      </c>
      <c r="G56">
        <f t="shared" si="5"/>
        <v>400</v>
      </c>
      <c r="H56">
        <f t="shared" si="6"/>
        <v>20</v>
      </c>
      <c r="I56">
        <f t="shared" si="10"/>
        <v>160</v>
      </c>
      <c r="J56">
        <f t="shared" si="19"/>
        <v>0</v>
      </c>
      <c r="L56">
        <f t="shared" si="7"/>
        <v>4240</v>
      </c>
      <c r="M56">
        <f t="shared" si="8"/>
        <v>160</v>
      </c>
      <c r="N56" s="9" t="e">
        <f>IF(OR($B56&gt;Assump!$E$9,$B56&lt;HVDC_Received_Max),NA(),NI_demand*2)</f>
        <v>#N/A</v>
      </c>
      <c r="O56">
        <f t="shared" si="9"/>
        <v>4400</v>
      </c>
      <c r="R56">
        <f t="shared" si="11"/>
        <v>260</v>
      </c>
      <c r="S56" s="3">
        <f t="shared" si="12"/>
        <v>400</v>
      </c>
      <c r="T56">
        <f t="shared" si="13"/>
        <v>220</v>
      </c>
      <c r="U56">
        <f t="shared" si="14"/>
        <v>180</v>
      </c>
      <c r="V56">
        <f t="shared" si="15"/>
        <v>-238</v>
      </c>
      <c r="W56">
        <f t="shared" si="16"/>
        <v>180</v>
      </c>
      <c r="X56">
        <f t="shared" si="17"/>
        <v>400</v>
      </c>
    </row>
    <row r="57" spans="1:24" ht="14.45" x14ac:dyDescent="0.35">
      <c r="A57" s="7">
        <f>B57/(1-Assump!$D$4)</f>
        <v>281.06060606060606</v>
      </c>
      <c r="B57" s="1">
        <v>265</v>
      </c>
      <c r="C57" s="9">
        <f t="shared" si="1"/>
        <v>220</v>
      </c>
      <c r="D57">
        <f t="shared" si="2"/>
        <v>220</v>
      </c>
      <c r="E57">
        <f t="shared" si="3"/>
        <v>-233</v>
      </c>
      <c r="F57">
        <f t="shared" si="4"/>
        <v>180</v>
      </c>
      <c r="G57">
        <f t="shared" si="5"/>
        <v>400</v>
      </c>
      <c r="H57">
        <f t="shared" si="6"/>
        <v>20</v>
      </c>
      <c r="I57">
        <f t="shared" si="10"/>
        <v>160</v>
      </c>
      <c r="J57">
        <f t="shared" si="19"/>
        <v>0</v>
      </c>
      <c r="L57">
        <f t="shared" si="7"/>
        <v>4235</v>
      </c>
      <c r="M57">
        <f t="shared" si="8"/>
        <v>160</v>
      </c>
      <c r="N57" s="9" t="e">
        <f>IF(OR($B57&gt;Assump!$E$9,$B57&lt;HVDC_Received_Max),NA(),NI_demand*2)</f>
        <v>#N/A</v>
      </c>
      <c r="O57">
        <f t="shared" si="9"/>
        <v>4395</v>
      </c>
      <c r="R57">
        <f t="shared" si="11"/>
        <v>265</v>
      </c>
      <c r="S57" s="3">
        <f t="shared" si="12"/>
        <v>400</v>
      </c>
      <c r="T57">
        <f t="shared" si="13"/>
        <v>220</v>
      </c>
      <c r="U57">
        <f t="shared" si="14"/>
        <v>180</v>
      </c>
      <c r="V57">
        <f t="shared" si="15"/>
        <v>-233</v>
      </c>
      <c r="W57">
        <f t="shared" si="16"/>
        <v>180</v>
      </c>
      <c r="X57">
        <f t="shared" si="17"/>
        <v>400</v>
      </c>
    </row>
    <row r="58" spans="1:24" ht="14.45" x14ac:dyDescent="0.35">
      <c r="A58" s="7">
        <f>B58/(1-Assump!$D$4)</f>
        <v>286.36363636363637</v>
      </c>
      <c r="B58" s="1">
        <v>270</v>
      </c>
      <c r="C58" s="9">
        <f t="shared" si="1"/>
        <v>220</v>
      </c>
      <c r="D58">
        <f t="shared" si="2"/>
        <v>220</v>
      </c>
      <c r="E58">
        <f t="shared" si="3"/>
        <v>-228</v>
      </c>
      <c r="F58">
        <f t="shared" si="4"/>
        <v>180</v>
      </c>
      <c r="G58">
        <f t="shared" si="5"/>
        <v>400</v>
      </c>
      <c r="H58">
        <f t="shared" si="6"/>
        <v>20</v>
      </c>
      <c r="I58">
        <f t="shared" si="10"/>
        <v>160</v>
      </c>
      <c r="J58">
        <f t="shared" si="19"/>
        <v>0</v>
      </c>
      <c r="L58">
        <f t="shared" si="7"/>
        <v>4230</v>
      </c>
      <c r="M58">
        <f t="shared" si="8"/>
        <v>160</v>
      </c>
      <c r="N58" s="9" t="e">
        <f>IF(OR($B58&gt;Assump!$E$9,$B58&lt;HVDC_Received_Max),NA(),NI_demand*2)</f>
        <v>#N/A</v>
      </c>
      <c r="O58">
        <f t="shared" si="9"/>
        <v>4390</v>
      </c>
      <c r="R58">
        <f t="shared" si="11"/>
        <v>270</v>
      </c>
      <c r="S58" s="3">
        <f t="shared" si="12"/>
        <v>400</v>
      </c>
      <c r="T58">
        <f t="shared" si="13"/>
        <v>220</v>
      </c>
      <c r="U58">
        <f t="shared" si="14"/>
        <v>180</v>
      </c>
      <c r="V58">
        <f t="shared" si="15"/>
        <v>-228</v>
      </c>
      <c r="W58">
        <f t="shared" si="16"/>
        <v>180</v>
      </c>
      <c r="X58">
        <f t="shared" si="17"/>
        <v>400</v>
      </c>
    </row>
    <row r="59" spans="1:24" ht="14.45" x14ac:dyDescent="0.35">
      <c r="A59" s="7">
        <f>B59/(1-Assump!$D$4)</f>
        <v>291.66666666666669</v>
      </c>
      <c r="B59" s="1">
        <v>275</v>
      </c>
      <c r="C59" s="9">
        <f t="shared" si="1"/>
        <v>220</v>
      </c>
      <c r="D59">
        <f t="shared" si="2"/>
        <v>220</v>
      </c>
      <c r="E59">
        <f t="shared" si="3"/>
        <v>-223</v>
      </c>
      <c r="F59">
        <f t="shared" si="4"/>
        <v>180</v>
      </c>
      <c r="G59">
        <f t="shared" si="5"/>
        <v>400</v>
      </c>
      <c r="H59">
        <f t="shared" si="6"/>
        <v>20</v>
      </c>
      <c r="I59">
        <f t="shared" si="10"/>
        <v>160</v>
      </c>
      <c r="J59">
        <f t="shared" si="19"/>
        <v>0</v>
      </c>
      <c r="L59">
        <f t="shared" si="7"/>
        <v>4225</v>
      </c>
      <c r="M59">
        <f t="shared" si="8"/>
        <v>160</v>
      </c>
      <c r="N59" s="9" t="e">
        <f>IF(OR($B59&gt;Assump!$E$9,$B59&lt;HVDC_Received_Max),NA(),NI_demand*2)</f>
        <v>#N/A</v>
      </c>
      <c r="O59">
        <f t="shared" si="9"/>
        <v>4385</v>
      </c>
      <c r="R59">
        <f t="shared" si="11"/>
        <v>275</v>
      </c>
      <c r="S59" s="3">
        <f t="shared" si="12"/>
        <v>400</v>
      </c>
      <c r="T59">
        <f t="shared" si="13"/>
        <v>220</v>
      </c>
      <c r="U59">
        <f t="shared" si="14"/>
        <v>180</v>
      </c>
      <c r="V59">
        <f t="shared" si="15"/>
        <v>-223</v>
      </c>
      <c r="W59">
        <f t="shared" si="16"/>
        <v>180</v>
      </c>
      <c r="X59">
        <f t="shared" si="17"/>
        <v>400</v>
      </c>
    </row>
    <row r="60" spans="1:24" ht="14.45" x14ac:dyDescent="0.35">
      <c r="A60" s="7">
        <f>B60/(1-Assump!$D$4)</f>
        <v>296.969696969697</v>
      </c>
      <c r="B60" s="1">
        <v>280</v>
      </c>
      <c r="C60" s="9">
        <f t="shared" si="1"/>
        <v>220</v>
      </c>
      <c r="D60">
        <f t="shared" si="2"/>
        <v>220</v>
      </c>
      <c r="E60">
        <f t="shared" si="3"/>
        <v>-218</v>
      </c>
      <c r="F60">
        <f t="shared" si="4"/>
        <v>180</v>
      </c>
      <c r="G60">
        <f t="shared" si="5"/>
        <v>400</v>
      </c>
      <c r="H60">
        <f t="shared" si="6"/>
        <v>20</v>
      </c>
      <c r="I60">
        <f t="shared" si="10"/>
        <v>160</v>
      </c>
      <c r="J60">
        <f t="shared" si="19"/>
        <v>0</v>
      </c>
      <c r="L60">
        <f t="shared" si="7"/>
        <v>4220</v>
      </c>
      <c r="M60">
        <f t="shared" si="8"/>
        <v>160</v>
      </c>
      <c r="N60" s="9" t="e">
        <f>IF(OR($B60&gt;Assump!$E$9,$B60&lt;HVDC_Received_Max),NA(),NI_demand*2)</f>
        <v>#N/A</v>
      </c>
      <c r="O60">
        <f t="shared" si="9"/>
        <v>4380</v>
      </c>
      <c r="R60">
        <f t="shared" si="11"/>
        <v>280</v>
      </c>
      <c r="S60" s="3">
        <f t="shared" si="12"/>
        <v>400</v>
      </c>
      <c r="T60">
        <f t="shared" si="13"/>
        <v>220</v>
      </c>
      <c r="U60">
        <f t="shared" si="14"/>
        <v>180</v>
      </c>
      <c r="V60">
        <f t="shared" si="15"/>
        <v>-218</v>
      </c>
      <c r="W60">
        <f t="shared" si="16"/>
        <v>180</v>
      </c>
      <c r="X60">
        <f t="shared" si="17"/>
        <v>400</v>
      </c>
    </row>
    <row r="61" spans="1:24" ht="14.45" x14ac:dyDescent="0.35">
      <c r="A61" s="7">
        <f>B61/(1-Assump!$D$4)</f>
        <v>302.27272727272725</v>
      </c>
      <c r="B61" s="1">
        <v>285</v>
      </c>
      <c r="C61" s="9">
        <f t="shared" si="1"/>
        <v>220</v>
      </c>
      <c r="D61">
        <f t="shared" si="2"/>
        <v>220</v>
      </c>
      <c r="E61">
        <f t="shared" si="3"/>
        <v>-213</v>
      </c>
      <c r="F61">
        <f t="shared" si="4"/>
        <v>180</v>
      </c>
      <c r="G61">
        <f t="shared" si="5"/>
        <v>400</v>
      </c>
      <c r="H61">
        <f t="shared" si="6"/>
        <v>20</v>
      </c>
      <c r="I61">
        <f t="shared" si="10"/>
        <v>160</v>
      </c>
      <c r="J61">
        <f t="shared" si="19"/>
        <v>0</v>
      </c>
      <c r="L61">
        <f t="shared" si="7"/>
        <v>4215</v>
      </c>
      <c r="M61">
        <f t="shared" si="8"/>
        <v>160</v>
      </c>
      <c r="N61" s="9" t="e">
        <f>IF(OR($B61&gt;Assump!$E$9,$B61&lt;HVDC_Received_Max),NA(),NI_demand*2)</f>
        <v>#N/A</v>
      </c>
      <c r="O61">
        <f t="shared" si="9"/>
        <v>4375</v>
      </c>
      <c r="R61">
        <f t="shared" si="11"/>
        <v>285</v>
      </c>
      <c r="S61" s="3">
        <f t="shared" si="12"/>
        <v>400</v>
      </c>
      <c r="T61">
        <f t="shared" si="13"/>
        <v>220</v>
      </c>
      <c r="U61">
        <f t="shared" si="14"/>
        <v>180</v>
      </c>
      <c r="V61">
        <f t="shared" si="15"/>
        <v>-213</v>
      </c>
      <c r="W61">
        <f t="shared" si="16"/>
        <v>180</v>
      </c>
      <c r="X61">
        <f t="shared" si="17"/>
        <v>400</v>
      </c>
    </row>
    <row r="62" spans="1:24" ht="14.45" x14ac:dyDescent="0.35">
      <c r="A62" s="7">
        <f>B62/(1-Assump!$D$4)</f>
        <v>307.57575757575756</v>
      </c>
      <c r="B62" s="1">
        <v>290</v>
      </c>
      <c r="C62" s="9">
        <f t="shared" si="1"/>
        <v>220</v>
      </c>
      <c r="D62">
        <f t="shared" si="2"/>
        <v>220</v>
      </c>
      <c r="E62">
        <f t="shared" si="3"/>
        <v>-208</v>
      </c>
      <c r="F62">
        <f t="shared" si="4"/>
        <v>180</v>
      </c>
      <c r="G62">
        <f t="shared" si="5"/>
        <v>400</v>
      </c>
      <c r="H62">
        <f t="shared" si="6"/>
        <v>20</v>
      </c>
      <c r="I62">
        <f t="shared" si="10"/>
        <v>160</v>
      </c>
      <c r="J62">
        <f t="shared" si="19"/>
        <v>0</v>
      </c>
      <c r="L62">
        <f t="shared" si="7"/>
        <v>4210</v>
      </c>
      <c r="M62">
        <f t="shared" si="8"/>
        <v>160</v>
      </c>
      <c r="N62" s="9" t="e">
        <f>IF(OR($B62&gt;Assump!$E$9,$B62&lt;HVDC_Received_Max),NA(),NI_demand*2)</f>
        <v>#N/A</v>
      </c>
      <c r="O62">
        <f t="shared" si="9"/>
        <v>4370</v>
      </c>
      <c r="R62">
        <f t="shared" si="11"/>
        <v>290</v>
      </c>
      <c r="S62" s="3">
        <f t="shared" si="12"/>
        <v>400</v>
      </c>
      <c r="T62">
        <f t="shared" si="13"/>
        <v>220</v>
      </c>
      <c r="U62">
        <f t="shared" si="14"/>
        <v>180</v>
      </c>
      <c r="V62">
        <f t="shared" si="15"/>
        <v>-208</v>
      </c>
      <c r="W62">
        <f t="shared" si="16"/>
        <v>180</v>
      </c>
      <c r="X62">
        <f t="shared" si="17"/>
        <v>400</v>
      </c>
    </row>
    <row r="63" spans="1:24" ht="14.45" x14ac:dyDescent="0.35">
      <c r="A63" s="7">
        <f>B63/(1-Assump!$D$4)</f>
        <v>312.87878787878788</v>
      </c>
      <c r="B63" s="1">
        <v>295</v>
      </c>
      <c r="C63" s="9">
        <f t="shared" si="1"/>
        <v>220</v>
      </c>
      <c r="D63">
        <f t="shared" si="2"/>
        <v>220</v>
      </c>
      <c r="E63">
        <f t="shared" si="3"/>
        <v>-203</v>
      </c>
      <c r="F63">
        <f t="shared" si="4"/>
        <v>180</v>
      </c>
      <c r="G63">
        <f t="shared" si="5"/>
        <v>400</v>
      </c>
      <c r="H63">
        <f t="shared" si="6"/>
        <v>20</v>
      </c>
      <c r="I63">
        <f t="shared" si="10"/>
        <v>160</v>
      </c>
      <c r="J63">
        <f t="shared" si="19"/>
        <v>0</v>
      </c>
      <c r="L63">
        <f t="shared" si="7"/>
        <v>4205</v>
      </c>
      <c r="M63">
        <f t="shared" si="8"/>
        <v>160</v>
      </c>
      <c r="N63" s="9" t="e">
        <f>IF(OR($B63&gt;Assump!$E$9,$B63&lt;HVDC_Received_Max),NA(),NI_demand*2)</f>
        <v>#N/A</v>
      </c>
      <c r="O63">
        <f t="shared" si="9"/>
        <v>4365</v>
      </c>
      <c r="R63">
        <f t="shared" si="11"/>
        <v>295</v>
      </c>
      <c r="S63" s="3">
        <f t="shared" si="12"/>
        <v>400</v>
      </c>
      <c r="T63">
        <f t="shared" si="13"/>
        <v>220</v>
      </c>
      <c r="U63">
        <f t="shared" si="14"/>
        <v>180</v>
      </c>
      <c r="V63">
        <f t="shared" si="15"/>
        <v>-203</v>
      </c>
      <c r="W63">
        <f t="shared" si="16"/>
        <v>180</v>
      </c>
      <c r="X63">
        <f t="shared" si="17"/>
        <v>400</v>
      </c>
    </row>
    <row r="64" spans="1:24" ht="14.45" x14ac:dyDescent="0.35">
      <c r="A64" s="7">
        <f>B64/(1-Assump!$D$4)</f>
        <v>318.18181818181819</v>
      </c>
      <c r="B64" s="1">
        <v>300</v>
      </c>
      <c r="C64" s="9">
        <f t="shared" si="1"/>
        <v>220</v>
      </c>
      <c r="D64">
        <f t="shared" si="2"/>
        <v>220</v>
      </c>
      <c r="E64">
        <f t="shared" si="3"/>
        <v>-198</v>
      </c>
      <c r="F64">
        <f t="shared" si="4"/>
        <v>180</v>
      </c>
      <c r="G64">
        <f t="shared" si="5"/>
        <v>400</v>
      </c>
      <c r="H64">
        <f t="shared" si="6"/>
        <v>20</v>
      </c>
      <c r="I64">
        <f t="shared" si="10"/>
        <v>160</v>
      </c>
      <c r="J64">
        <f t="shared" si="19"/>
        <v>0</v>
      </c>
      <c r="L64">
        <f t="shared" si="7"/>
        <v>4200</v>
      </c>
      <c r="M64">
        <f t="shared" si="8"/>
        <v>160</v>
      </c>
      <c r="N64" s="9" t="e">
        <f>IF(OR($B64&gt;Assump!$E$9,$B64&lt;HVDC_Received_Max),NA(),NI_demand*2)</f>
        <v>#N/A</v>
      </c>
      <c r="O64">
        <f t="shared" si="9"/>
        <v>4360</v>
      </c>
      <c r="R64">
        <f t="shared" si="11"/>
        <v>300</v>
      </c>
      <c r="S64" s="3">
        <f t="shared" si="12"/>
        <v>400</v>
      </c>
      <c r="T64">
        <f t="shared" si="13"/>
        <v>220</v>
      </c>
      <c r="U64">
        <f t="shared" si="14"/>
        <v>180</v>
      </c>
      <c r="V64">
        <f t="shared" si="15"/>
        <v>-198</v>
      </c>
      <c r="W64">
        <f t="shared" si="16"/>
        <v>180</v>
      </c>
      <c r="X64">
        <f t="shared" si="17"/>
        <v>400</v>
      </c>
    </row>
    <row r="65" spans="1:24" ht="14.45" x14ac:dyDescent="0.35">
      <c r="A65" s="7">
        <f>B65/(1-Assump!$D$4)</f>
        <v>323.4848484848485</v>
      </c>
      <c r="B65" s="1">
        <v>305</v>
      </c>
      <c r="C65" s="9">
        <f t="shared" si="1"/>
        <v>220</v>
      </c>
      <c r="D65">
        <f t="shared" si="2"/>
        <v>220</v>
      </c>
      <c r="E65">
        <f t="shared" si="3"/>
        <v>-193</v>
      </c>
      <c r="F65">
        <f t="shared" si="4"/>
        <v>180</v>
      </c>
      <c r="G65">
        <f t="shared" si="5"/>
        <v>400</v>
      </c>
      <c r="H65">
        <f t="shared" si="6"/>
        <v>20</v>
      </c>
      <c r="I65">
        <f t="shared" si="10"/>
        <v>160</v>
      </c>
      <c r="J65">
        <f t="shared" si="19"/>
        <v>0</v>
      </c>
      <c r="L65">
        <f t="shared" si="7"/>
        <v>4195</v>
      </c>
      <c r="M65">
        <f t="shared" si="8"/>
        <v>160</v>
      </c>
      <c r="N65" s="9" t="e">
        <f>IF(OR($B65&gt;Assump!$E$9,$B65&lt;HVDC_Received_Max),NA(),NI_demand*2)</f>
        <v>#N/A</v>
      </c>
      <c r="O65">
        <f t="shared" si="9"/>
        <v>4355</v>
      </c>
      <c r="R65">
        <f t="shared" si="11"/>
        <v>305</v>
      </c>
      <c r="S65" s="3">
        <f t="shared" si="12"/>
        <v>400</v>
      </c>
      <c r="T65">
        <f t="shared" si="13"/>
        <v>220</v>
      </c>
      <c r="U65">
        <f t="shared" si="14"/>
        <v>180</v>
      </c>
      <c r="V65">
        <f t="shared" si="15"/>
        <v>-193</v>
      </c>
      <c r="W65">
        <f t="shared" si="16"/>
        <v>180</v>
      </c>
      <c r="X65">
        <f t="shared" si="17"/>
        <v>400</v>
      </c>
    </row>
    <row r="66" spans="1:24" ht="14.45" x14ac:dyDescent="0.35">
      <c r="A66" s="7">
        <f>B66/(1-Assump!$D$4)</f>
        <v>328.78787878787881</v>
      </c>
      <c r="B66" s="1">
        <v>310</v>
      </c>
      <c r="C66" s="9">
        <f t="shared" si="1"/>
        <v>220</v>
      </c>
      <c r="D66">
        <f t="shared" si="2"/>
        <v>220</v>
      </c>
      <c r="E66">
        <f t="shared" si="3"/>
        <v>-188</v>
      </c>
      <c r="F66">
        <f t="shared" si="4"/>
        <v>180</v>
      </c>
      <c r="G66">
        <f t="shared" si="5"/>
        <v>400</v>
      </c>
      <c r="H66">
        <f t="shared" si="6"/>
        <v>20</v>
      </c>
      <c r="I66">
        <f t="shared" si="10"/>
        <v>160</v>
      </c>
      <c r="J66">
        <f t="shared" si="19"/>
        <v>0</v>
      </c>
      <c r="L66">
        <f t="shared" si="7"/>
        <v>4190</v>
      </c>
      <c r="M66">
        <f t="shared" si="8"/>
        <v>160</v>
      </c>
      <c r="N66" s="9" t="e">
        <f>IF(OR($B66&gt;Assump!$E$9,$B66&lt;HVDC_Received_Max),NA(),NI_demand*2)</f>
        <v>#N/A</v>
      </c>
      <c r="O66">
        <f t="shared" si="9"/>
        <v>4350</v>
      </c>
      <c r="R66">
        <f t="shared" si="11"/>
        <v>310</v>
      </c>
      <c r="S66" s="3">
        <f t="shared" si="12"/>
        <v>400</v>
      </c>
      <c r="T66">
        <f t="shared" si="13"/>
        <v>220</v>
      </c>
      <c r="U66">
        <f t="shared" si="14"/>
        <v>180</v>
      </c>
      <c r="V66">
        <f t="shared" si="15"/>
        <v>-188</v>
      </c>
      <c r="W66">
        <f t="shared" si="16"/>
        <v>180</v>
      </c>
      <c r="X66">
        <f t="shared" si="17"/>
        <v>400</v>
      </c>
    </row>
    <row r="67" spans="1:24" ht="14.45" x14ac:dyDescent="0.35">
      <c r="A67" s="7">
        <f>B67/(1-Assump!$D$4)</f>
        <v>334.09090909090912</v>
      </c>
      <c r="B67" s="1">
        <v>315</v>
      </c>
      <c r="C67" s="9">
        <f t="shared" si="1"/>
        <v>220</v>
      </c>
      <c r="D67">
        <f t="shared" si="2"/>
        <v>220</v>
      </c>
      <c r="E67">
        <f t="shared" si="3"/>
        <v>-183</v>
      </c>
      <c r="F67">
        <f t="shared" si="4"/>
        <v>180</v>
      </c>
      <c r="G67">
        <f t="shared" si="5"/>
        <v>400</v>
      </c>
      <c r="H67">
        <f t="shared" si="6"/>
        <v>20</v>
      </c>
      <c r="I67">
        <f t="shared" si="10"/>
        <v>160</v>
      </c>
      <c r="J67">
        <f t="shared" si="19"/>
        <v>0</v>
      </c>
      <c r="L67">
        <f t="shared" si="7"/>
        <v>4185</v>
      </c>
      <c r="M67">
        <f t="shared" si="8"/>
        <v>160</v>
      </c>
      <c r="N67" s="9" t="e">
        <f>IF(OR($B67&gt;Assump!$E$9,$B67&lt;HVDC_Received_Max),NA(),NI_demand*2)</f>
        <v>#N/A</v>
      </c>
      <c r="O67">
        <f t="shared" si="9"/>
        <v>4345</v>
      </c>
      <c r="R67">
        <f t="shared" si="11"/>
        <v>315</v>
      </c>
      <c r="S67" s="3">
        <f t="shared" si="12"/>
        <v>400</v>
      </c>
      <c r="T67">
        <f t="shared" si="13"/>
        <v>220</v>
      </c>
      <c r="U67">
        <f t="shared" si="14"/>
        <v>180</v>
      </c>
      <c r="V67">
        <f t="shared" si="15"/>
        <v>-183</v>
      </c>
      <c r="W67">
        <f t="shared" si="16"/>
        <v>180</v>
      </c>
      <c r="X67">
        <f t="shared" si="17"/>
        <v>400</v>
      </c>
    </row>
    <row r="68" spans="1:24" ht="14.45" x14ac:dyDescent="0.35">
      <c r="A68" s="7">
        <f>B68/(1-Assump!$D$4)</f>
        <v>339.39393939393938</v>
      </c>
      <c r="B68" s="1">
        <v>320</v>
      </c>
      <c r="C68" s="9">
        <f t="shared" ref="C68:C131" si="20">MIN(HVDC_IR_transfer_cap,HVDC_Received_Max-B68-ModulationRisk)</f>
        <v>220</v>
      </c>
      <c r="D68">
        <f t="shared" ref="D68:D131" si="21">IF($B68&lt;HVDC_Received_Max,MAX(0,MIN(AC_CE,C68)),NA())</f>
        <v>220</v>
      </c>
      <c r="E68">
        <f t="shared" ref="E68:E131" si="22">IF($B68&lt;HVDC_Received_Max,B68-Pole2_limit+ModulationRisk,NA())</f>
        <v>-178</v>
      </c>
      <c r="F68">
        <f t="shared" ref="F68:F131" si="23">IF($B68&lt;HVDC_Received_Max,MAX(0,MIN(AC_CE,AC_CE-C68)),NA())</f>
        <v>180</v>
      </c>
      <c r="G68">
        <f t="shared" ref="G68:G131" si="24">IF($B68&lt;HVDC_Received_Max,AC_CE,NA())</f>
        <v>400</v>
      </c>
      <c r="H68">
        <f t="shared" ref="H68:H131" si="25">IF($B68&lt;HVDC_Received_Max,NI_IL,NA())</f>
        <v>20</v>
      </c>
      <c r="I68">
        <f t="shared" si="10"/>
        <v>160</v>
      </c>
      <c r="J68">
        <f t="shared" si="19"/>
        <v>0</v>
      </c>
      <c r="L68">
        <f t="shared" ref="L68:L131" si="26">IF($B68&lt;HVDC_Received_Max,NI_demand-$B68,NA())</f>
        <v>4180</v>
      </c>
      <c r="M68">
        <f t="shared" ref="M68:M131" si="27">IF($B68&lt;HVDC_Received_Max,I68,NA())</f>
        <v>160</v>
      </c>
      <c r="N68" s="9" t="e">
        <f>IF(OR($B68&gt;Assump!$E$9,$B68&lt;HVDC_Received_Max),NA(),NI_demand*2)</f>
        <v>#N/A</v>
      </c>
      <c r="O68">
        <f t="shared" ref="O68:O131" si="28">SUM(L68:M68)</f>
        <v>4340</v>
      </c>
      <c r="R68">
        <f t="shared" si="11"/>
        <v>320</v>
      </c>
      <c r="S68" s="3">
        <f t="shared" si="12"/>
        <v>400</v>
      </c>
      <c r="T68">
        <f t="shared" si="13"/>
        <v>220</v>
      </c>
      <c r="U68">
        <f t="shared" si="14"/>
        <v>180</v>
      </c>
      <c r="V68">
        <f t="shared" si="15"/>
        <v>-178</v>
      </c>
      <c r="W68">
        <f t="shared" si="16"/>
        <v>180</v>
      </c>
      <c r="X68">
        <f t="shared" si="17"/>
        <v>400</v>
      </c>
    </row>
    <row r="69" spans="1:24" ht="14.45" x14ac:dyDescent="0.35">
      <c r="A69" s="7">
        <f>B69/(1-Assump!$D$4)</f>
        <v>344.69696969696969</v>
      </c>
      <c r="B69" s="1">
        <v>325</v>
      </c>
      <c r="C69" s="9">
        <f t="shared" si="20"/>
        <v>220</v>
      </c>
      <c r="D69">
        <f t="shared" si="21"/>
        <v>220</v>
      </c>
      <c r="E69">
        <f t="shared" si="22"/>
        <v>-173</v>
      </c>
      <c r="F69">
        <f t="shared" si="23"/>
        <v>180</v>
      </c>
      <c r="G69">
        <f t="shared" si="24"/>
        <v>400</v>
      </c>
      <c r="H69">
        <f t="shared" si="25"/>
        <v>20</v>
      </c>
      <c r="I69">
        <f t="shared" ref="I69:I132" si="29">MAX(0,MAX(E69,F69)-H69)</f>
        <v>160</v>
      </c>
      <c r="J69">
        <f t="shared" si="19"/>
        <v>0</v>
      </c>
      <c r="L69">
        <f t="shared" si="26"/>
        <v>4175</v>
      </c>
      <c r="M69">
        <f t="shared" si="27"/>
        <v>160</v>
      </c>
      <c r="N69" s="9" t="e">
        <f>IF(OR($B69&gt;Assump!$E$9,$B69&lt;HVDC_Received_Max),NA(),NI_demand*2)</f>
        <v>#N/A</v>
      </c>
      <c r="O69">
        <f t="shared" si="28"/>
        <v>4335</v>
      </c>
      <c r="R69">
        <f t="shared" ref="R69:R132" si="30">B69</f>
        <v>325</v>
      </c>
      <c r="S69" s="3">
        <f t="shared" ref="S69:S132" si="31">G69</f>
        <v>400</v>
      </c>
      <c r="T69">
        <f t="shared" ref="T69:T132" si="32">D69</f>
        <v>220</v>
      </c>
      <c r="U69">
        <f t="shared" ref="U69:U132" si="33">F69</f>
        <v>180</v>
      </c>
      <c r="V69">
        <f t="shared" ref="V69:V132" si="34">E69</f>
        <v>-173</v>
      </c>
      <c r="W69">
        <f t="shared" ref="W69:W132" si="35">MAX(U69:V69)</f>
        <v>180</v>
      </c>
      <c r="X69">
        <f t="shared" ref="X69:X132" si="36">MAX(S69,V69)</f>
        <v>400</v>
      </c>
    </row>
    <row r="70" spans="1:24" ht="14.45" x14ac:dyDescent="0.35">
      <c r="A70" s="7">
        <f>B70/(1-Assump!$D$4)</f>
        <v>350</v>
      </c>
      <c r="B70" s="1">
        <v>330</v>
      </c>
      <c r="C70" s="9">
        <f t="shared" si="20"/>
        <v>220</v>
      </c>
      <c r="D70">
        <f t="shared" si="21"/>
        <v>220</v>
      </c>
      <c r="E70">
        <f t="shared" si="22"/>
        <v>-168</v>
      </c>
      <c r="F70">
        <f t="shared" si="23"/>
        <v>180</v>
      </c>
      <c r="G70">
        <f t="shared" si="24"/>
        <v>400</v>
      </c>
      <c r="H70">
        <f t="shared" si="25"/>
        <v>20</v>
      </c>
      <c r="I70">
        <f t="shared" si="29"/>
        <v>160</v>
      </c>
      <c r="J70">
        <f t="shared" si="19"/>
        <v>0</v>
      </c>
      <c r="L70">
        <f t="shared" si="26"/>
        <v>4170</v>
      </c>
      <c r="M70">
        <f t="shared" si="27"/>
        <v>160</v>
      </c>
      <c r="N70" s="9" t="e">
        <f>IF(OR($B70&gt;Assump!$E$9,$B70&lt;HVDC_Received_Max),NA(),NI_demand*2)</f>
        <v>#N/A</v>
      </c>
      <c r="O70">
        <f t="shared" si="28"/>
        <v>4330</v>
      </c>
      <c r="R70">
        <f t="shared" si="30"/>
        <v>330</v>
      </c>
      <c r="S70" s="3">
        <f t="shared" si="31"/>
        <v>400</v>
      </c>
      <c r="T70">
        <f t="shared" si="32"/>
        <v>220</v>
      </c>
      <c r="U70">
        <f t="shared" si="33"/>
        <v>180</v>
      </c>
      <c r="V70">
        <f t="shared" si="34"/>
        <v>-168</v>
      </c>
      <c r="W70">
        <f t="shared" si="35"/>
        <v>180</v>
      </c>
      <c r="X70">
        <f t="shared" si="36"/>
        <v>400</v>
      </c>
    </row>
    <row r="71" spans="1:24" ht="14.45" x14ac:dyDescent="0.35">
      <c r="A71" s="7">
        <f>B71/(1-Assump!$D$4)</f>
        <v>355.30303030303031</v>
      </c>
      <c r="B71" s="1">
        <v>335</v>
      </c>
      <c r="C71" s="9">
        <f t="shared" si="20"/>
        <v>220</v>
      </c>
      <c r="D71">
        <f t="shared" si="21"/>
        <v>220</v>
      </c>
      <c r="E71">
        <f t="shared" si="22"/>
        <v>-163</v>
      </c>
      <c r="F71">
        <f t="shared" si="23"/>
        <v>180</v>
      </c>
      <c r="G71">
        <f t="shared" si="24"/>
        <v>400</v>
      </c>
      <c r="H71">
        <f t="shared" si="25"/>
        <v>20</v>
      </c>
      <c r="I71">
        <f t="shared" si="29"/>
        <v>160</v>
      </c>
      <c r="J71">
        <f t="shared" si="19"/>
        <v>0</v>
      </c>
      <c r="L71">
        <f t="shared" si="26"/>
        <v>4165</v>
      </c>
      <c r="M71">
        <f t="shared" si="27"/>
        <v>160</v>
      </c>
      <c r="N71" s="9" t="e">
        <f>IF(OR($B71&gt;Assump!$E$9,$B71&lt;HVDC_Received_Max),NA(),NI_demand*2)</f>
        <v>#N/A</v>
      </c>
      <c r="O71">
        <f t="shared" si="28"/>
        <v>4325</v>
      </c>
      <c r="R71">
        <f t="shared" si="30"/>
        <v>335</v>
      </c>
      <c r="S71" s="3">
        <f t="shared" si="31"/>
        <v>400</v>
      </c>
      <c r="T71">
        <f t="shared" si="32"/>
        <v>220</v>
      </c>
      <c r="U71">
        <f t="shared" si="33"/>
        <v>180</v>
      </c>
      <c r="V71">
        <f t="shared" si="34"/>
        <v>-163</v>
      </c>
      <c r="W71">
        <f t="shared" si="35"/>
        <v>180</v>
      </c>
      <c r="X71">
        <f t="shared" si="36"/>
        <v>400</v>
      </c>
    </row>
    <row r="72" spans="1:24" ht="14.45" x14ac:dyDescent="0.35">
      <c r="A72" s="7">
        <f>B72/(1-Assump!$D$4)</f>
        <v>360.60606060606062</v>
      </c>
      <c r="B72" s="1">
        <v>340</v>
      </c>
      <c r="C72" s="9">
        <f t="shared" si="20"/>
        <v>220</v>
      </c>
      <c r="D72">
        <f t="shared" si="21"/>
        <v>220</v>
      </c>
      <c r="E72">
        <f t="shared" si="22"/>
        <v>-158</v>
      </c>
      <c r="F72">
        <f t="shared" si="23"/>
        <v>180</v>
      </c>
      <c r="G72">
        <f t="shared" si="24"/>
        <v>400</v>
      </c>
      <c r="H72">
        <f t="shared" si="25"/>
        <v>20</v>
      </c>
      <c r="I72">
        <f t="shared" si="29"/>
        <v>160</v>
      </c>
      <c r="J72">
        <f t="shared" si="19"/>
        <v>0</v>
      </c>
      <c r="L72">
        <f t="shared" si="26"/>
        <v>4160</v>
      </c>
      <c r="M72">
        <f t="shared" si="27"/>
        <v>160</v>
      </c>
      <c r="N72" s="9" t="e">
        <f>IF(OR($B72&gt;Assump!$E$9,$B72&lt;HVDC_Received_Max),NA(),NI_demand*2)</f>
        <v>#N/A</v>
      </c>
      <c r="O72">
        <f t="shared" si="28"/>
        <v>4320</v>
      </c>
      <c r="R72">
        <f t="shared" si="30"/>
        <v>340</v>
      </c>
      <c r="S72" s="3">
        <f t="shared" si="31"/>
        <v>400</v>
      </c>
      <c r="T72">
        <f t="shared" si="32"/>
        <v>220</v>
      </c>
      <c r="U72">
        <f t="shared" si="33"/>
        <v>180</v>
      </c>
      <c r="V72">
        <f t="shared" si="34"/>
        <v>-158</v>
      </c>
      <c r="W72">
        <f t="shared" si="35"/>
        <v>180</v>
      </c>
      <c r="X72">
        <f t="shared" si="36"/>
        <v>400</v>
      </c>
    </row>
    <row r="73" spans="1:24" ht="14.45" x14ac:dyDescent="0.35">
      <c r="A73" s="7">
        <f>B73/(1-Assump!$D$4)</f>
        <v>365.90909090909093</v>
      </c>
      <c r="B73" s="1">
        <v>345</v>
      </c>
      <c r="C73" s="9">
        <f t="shared" si="20"/>
        <v>220</v>
      </c>
      <c r="D73">
        <f t="shared" si="21"/>
        <v>220</v>
      </c>
      <c r="E73">
        <f t="shared" si="22"/>
        <v>-153</v>
      </c>
      <c r="F73">
        <f t="shared" si="23"/>
        <v>180</v>
      </c>
      <c r="G73">
        <f t="shared" si="24"/>
        <v>400</v>
      </c>
      <c r="H73">
        <f t="shared" si="25"/>
        <v>20</v>
      </c>
      <c r="I73">
        <f t="shared" si="29"/>
        <v>160</v>
      </c>
      <c r="J73">
        <f t="shared" si="19"/>
        <v>0</v>
      </c>
      <c r="L73">
        <f t="shared" si="26"/>
        <v>4155</v>
      </c>
      <c r="M73">
        <f t="shared" si="27"/>
        <v>160</v>
      </c>
      <c r="N73" s="9" t="e">
        <f>IF(OR($B73&gt;Assump!$E$9,$B73&lt;HVDC_Received_Max),NA(),NI_demand*2)</f>
        <v>#N/A</v>
      </c>
      <c r="O73">
        <f t="shared" si="28"/>
        <v>4315</v>
      </c>
      <c r="R73">
        <f t="shared" si="30"/>
        <v>345</v>
      </c>
      <c r="S73" s="3">
        <f t="shared" si="31"/>
        <v>400</v>
      </c>
      <c r="T73">
        <f t="shared" si="32"/>
        <v>220</v>
      </c>
      <c r="U73">
        <f t="shared" si="33"/>
        <v>180</v>
      </c>
      <c r="V73">
        <f t="shared" si="34"/>
        <v>-153</v>
      </c>
      <c r="W73">
        <f t="shared" si="35"/>
        <v>180</v>
      </c>
      <c r="X73">
        <f t="shared" si="36"/>
        <v>400</v>
      </c>
    </row>
    <row r="74" spans="1:24" ht="14.45" x14ac:dyDescent="0.35">
      <c r="A74" s="7">
        <f>B74/(1-Assump!$D$4)</f>
        <v>371.21212121212125</v>
      </c>
      <c r="B74" s="1">
        <v>350</v>
      </c>
      <c r="C74" s="9">
        <f t="shared" si="20"/>
        <v>220</v>
      </c>
      <c r="D74">
        <f t="shared" si="21"/>
        <v>220</v>
      </c>
      <c r="E74">
        <f t="shared" si="22"/>
        <v>-148</v>
      </c>
      <c r="F74">
        <f t="shared" si="23"/>
        <v>180</v>
      </c>
      <c r="G74">
        <f t="shared" si="24"/>
        <v>400</v>
      </c>
      <c r="H74">
        <f t="shared" si="25"/>
        <v>20</v>
      </c>
      <c r="I74">
        <f t="shared" si="29"/>
        <v>160</v>
      </c>
      <c r="J74">
        <f t="shared" si="19"/>
        <v>0</v>
      </c>
      <c r="L74">
        <f t="shared" si="26"/>
        <v>4150</v>
      </c>
      <c r="M74">
        <f t="shared" si="27"/>
        <v>160</v>
      </c>
      <c r="N74" s="9" t="e">
        <f>IF(OR($B74&gt;Assump!$E$9,$B74&lt;HVDC_Received_Max),NA(),NI_demand*2)</f>
        <v>#N/A</v>
      </c>
      <c r="O74">
        <f t="shared" si="28"/>
        <v>4310</v>
      </c>
      <c r="R74">
        <f t="shared" si="30"/>
        <v>350</v>
      </c>
      <c r="S74" s="3">
        <f t="shared" si="31"/>
        <v>400</v>
      </c>
      <c r="T74">
        <f t="shared" si="32"/>
        <v>220</v>
      </c>
      <c r="U74">
        <f t="shared" si="33"/>
        <v>180</v>
      </c>
      <c r="V74">
        <f t="shared" si="34"/>
        <v>-148</v>
      </c>
      <c r="W74">
        <f t="shared" si="35"/>
        <v>180</v>
      </c>
      <c r="X74">
        <f t="shared" si="36"/>
        <v>400</v>
      </c>
    </row>
    <row r="75" spans="1:24" ht="14.45" x14ac:dyDescent="0.35">
      <c r="A75" s="7">
        <f>B75/(1-Assump!$D$4)</f>
        <v>376.5151515151515</v>
      </c>
      <c r="B75" s="1">
        <v>355</v>
      </c>
      <c r="C75" s="9">
        <f t="shared" si="20"/>
        <v>220</v>
      </c>
      <c r="D75">
        <f t="shared" si="21"/>
        <v>220</v>
      </c>
      <c r="E75">
        <f t="shared" si="22"/>
        <v>-143</v>
      </c>
      <c r="F75">
        <f t="shared" si="23"/>
        <v>180</v>
      </c>
      <c r="G75">
        <f t="shared" si="24"/>
        <v>400</v>
      </c>
      <c r="H75">
        <f t="shared" si="25"/>
        <v>20</v>
      </c>
      <c r="I75">
        <f t="shared" si="29"/>
        <v>160</v>
      </c>
      <c r="J75">
        <f t="shared" si="19"/>
        <v>0</v>
      </c>
      <c r="L75">
        <f t="shared" si="26"/>
        <v>4145</v>
      </c>
      <c r="M75">
        <f t="shared" si="27"/>
        <v>160</v>
      </c>
      <c r="N75" s="9" t="e">
        <f>IF(OR($B75&gt;Assump!$E$9,$B75&lt;HVDC_Received_Max),NA(),NI_demand*2)</f>
        <v>#N/A</v>
      </c>
      <c r="O75">
        <f t="shared" si="28"/>
        <v>4305</v>
      </c>
      <c r="R75">
        <f t="shared" si="30"/>
        <v>355</v>
      </c>
      <c r="S75" s="3">
        <f t="shared" si="31"/>
        <v>400</v>
      </c>
      <c r="T75">
        <f t="shared" si="32"/>
        <v>220</v>
      </c>
      <c r="U75">
        <f t="shared" si="33"/>
        <v>180</v>
      </c>
      <c r="V75">
        <f t="shared" si="34"/>
        <v>-143</v>
      </c>
      <c r="W75">
        <f t="shared" si="35"/>
        <v>180</v>
      </c>
      <c r="X75">
        <f t="shared" si="36"/>
        <v>400</v>
      </c>
    </row>
    <row r="76" spans="1:24" ht="14.45" x14ac:dyDescent="0.35">
      <c r="A76" s="7">
        <f>B76/(1-Assump!$D$4)</f>
        <v>381.81818181818181</v>
      </c>
      <c r="B76" s="1">
        <v>360</v>
      </c>
      <c r="C76" s="9">
        <f t="shared" si="20"/>
        <v>220</v>
      </c>
      <c r="D76">
        <f t="shared" si="21"/>
        <v>220</v>
      </c>
      <c r="E76">
        <f t="shared" si="22"/>
        <v>-138</v>
      </c>
      <c r="F76">
        <f t="shared" si="23"/>
        <v>180</v>
      </c>
      <c r="G76">
        <f t="shared" si="24"/>
        <v>400</v>
      </c>
      <c r="H76">
        <f t="shared" si="25"/>
        <v>20</v>
      </c>
      <c r="I76">
        <f t="shared" si="29"/>
        <v>160</v>
      </c>
      <c r="J76">
        <f t="shared" si="19"/>
        <v>0</v>
      </c>
      <c r="L76">
        <f t="shared" si="26"/>
        <v>4140</v>
      </c>
      <c r="M76">
        <f t="shared" si="27"/>
        <v>160</v>
      </c>
      <c r="N76" s="9" t="e">
        <f>IF(OR($B76&gt;Assump!$E$9,$B76&lt;HVDC_Received_Max),NA(),NI_demand*2)</f>
        <v>#N/A</v>
      </c>
      <c r="O76">
        <f t="shared" si="28"/>
        <v>4300</v>
      </c>
      <c r="R76">
        <f t="shared" si="30"/>
        <v>360</v>
      </c>
      <c r="S76" s="3">
        <f t="shared" si="31"/>
        <v>400</v>
      </c>
      <c r="T76">
        <f t="shared" si="32"/>
        <v>220</v>
      </c>
      <c r="U76">
        <f t="shared" si="33"/>
        <v>180</v>
      </c>
      <c r="V76">
        <f t="shared" si="34"/>
        <v>-138</v>
      </c>
      <c r="W76">
        <f t="shared" si="35"/>
        <v>180</v>
      </c>
      <c r="X76">
        <f t="shared" si="36"/>
        <v>400</v>
      </c>
    </row>
    <row r="77" spans="1:24" ht="14.45" x14ac:dyDescent="0.35">
      <c r="A77" s="7">
        <f>B77/(1-Assump!$D$4)</f>
        <v>387.12121212121212</v>
      </c>
      <c r="B77" s="1">
        <v>365</v>
      </c>
      <c r="C77" s="9">
        <f t="shared" si="20"/>
        <v>220</v>
      </c>
      <c r="D77">
        <f t="shared" si="21"/>
        <v>220</v>
      </c>
      <c r="E77">
        <f t="shared" si="22"/>
        <v>-133</v>
      </c>
      <c r="F77">
        <f t="shared" si="23"/>
        <v>180</v>
      </c>
      <c r="G77">
        <f t="shared" si="24"/>
        <v>400</v>
      </c>
      <c r="H77">
        <f t="shared" si="25"/>
        <v>20</v>
      </c>
      <c r="I77">
        <f t="shared" si="29"/>
        <v>160</v>
      </c>
      <c r="J77">
        <f t="shared" si="19"/>
        <v>0</v>
      </c>
      <c r="L77">
        <f t="shared" si="26"/>
        <v>4135</v>
      </c>
      <c r="M77">
        <f t="shared" si="27"/>
        <v>160</v>
      </c>
      <c r="N77" s="9" t="e">
        <f>IF(OR($B77&gt;Assump!$E$9,$B77&lt;HVDC_Received_Max),NA(),NI_demand*2)</f>
        <v>#N/A</v>
      </c>
      <c r="O77">
        <f t="shared" si="28"/>
        <v>4295</v>
      </c>
      <c r="R77">
        <f t="shared" si="30"/>
        <v>365</v>
      </c>
      <c r="S77" s="3">
        <f t="shared" si="31"/>
        <v>400</v>
      </c>
      <c r="T77">
        <f t="shared" si="32"/>
        <v>220</v>
      </c>
      <c r="U77">
        <f t="shared" si="33"/>
        <v>180</v>
      </c>
      <c r="V77">
        <f t="shared" si="34"/>
        <v>-133</v>
      </c>
      <c r="W77">
        <f t="shared" si="35"/>
        <v>180</v>
      </c>
      <c r="X77">
        <f t="shared" si="36"/>
        <v>400</v>
      </c>
    </row>
    <row r="78" spans="1:24" ht="14.45" x14ac:dyDescent="0.35">
      <c r="A78" s="7">
        <f>B78/(1-Assump!$D$4)</f>
        <v>392.42424242424244</v>
      </c>
      <c r="B78" s="1">
        <v>370</v>
      </c>
      <c r="C78" s="9">
        <f t="shared" si="20"/>
        <v>220</v>
      </c>
      <c r="D78">
        <f t="shared" si="21"/>
        <v>220</v>
      </c>
      <c r="E78">
        <f t="shared" si="22"/>
        <v>-128</v>
      </c>
      <c r="F78">
        <f t="shared" si="23"/>
        <v>180</v>
      </c>
      <c r="G78">
        <f t="shared" si="24"/>
        <v>400</v>
      </c>
      <c r="H78">
        <f t="shared" si="25"/>
        <v>20</v>
      </c>
      <c r="I78">
        <f t="shared" si="29"/>
        <v>160</v>
      </c>
      <c r="J78">
        <f t="shared" si="19"/>
        <v>0</v>
      </c>
      <c r="L78">
        <f t="shared" si="26"/>
        <v>4130</v>
      </c>
      <c r="M78">
        <f t="shared" si="27"/>
        <v>160</v>
      </c>
      <c r="N78" s="9" t="e">
        <f>IF(OR($B78&gt;Assump!$E$9,$B78&lt;HVDC_Received_Max),NA(),NI_demand*2)</f>
        <v>#N/A</v>
      </c>
      <c r="O78">
        <f t="shared" si="28"/>
        <v>4290</v>
      </c>
      <c r="R78">
        <f t="shared" si="30"/>
        <v>370</v>
      </c>
      <c r="S78" s="3">
        <f t="shared" si="31"/>
        <v>400</v>
      </c>
      <c r="T78">
        <f t="shared" si="32"/>
        <v>220</v>
      </c>
      <c r="U78">
        <f t="shared" si="33"/>
        <v>180</v>
      </c>
      <c r="V78">
        <f t="shared" si="34"/>
        <v>-128</v>
      </c>
      <c r="W78">
        <f t="shared" si="35"/>
        <v>180</v>
      </c>
      <c r="X78">
        <f t="shared" si="36"/>
        <v>400</v>
      </c>
    </row>
    <row r="79" spans="1:24" ht="14.45" x14ac:dyDescent="0.35">
      <c r="A79" s="7">
        <f>B79/(1-Assump!$D$4)</f>
        <v>397.72727272727275</v>
      </c>
      <c r="B79" s="1">
        <v>375</v>
      </c>
      <c r="C79" s="9">
        <f t="shared" si="20"/>
        <v>220</v>
      </c>
      <c r="D79">
        <f t="shared" si="21"/>
        <v>220</v>
      </c>
      <c r="E79">
        <f t="shared" si="22"/>
        <v>-123</v>
      </c>
      <c r="F79">
        <f t="shared" si="23"/>
        <v>180</v>
      </c>
      <c r="G79">
        <f t="shared" si="24"/>
        <v>400</v>
      </c>
      <c r="H79">
        <f t="shared" si="25"/>
        <v>20</v>
      </c>
      <c r="I79">
        <f t="shared" si="29"/>
        <v>160</v>
      </c>
      <c r="J79">
        <f t="shared" si="19"/>
        <v>0</v>
      </c>
      <c r="L79">
        <f t="shared" si="26"/>
        <v>4125</v>
      </c>
      <c r="M79">
        <f t="shared" si="27"/>
        <v>160</v>
      </c>
      <c r="N79" s="9" t="e">
        <f>IF(OR($B79&gt;Assump!$E$9,$B79&lt;HVDC_Received_Max),NA(),NI_demand*2)</f>
        <v>#N/A</v>
      </c>
      <c r="O79">
        <f t="shared" si="28"/>
        <v>4285</v>
      </c>
      <c r="R79">
        <f t="shared" si="30"/>
        <v>375</v>
      </c>
      <c r="S79" s="3">
        <f t="shared" si="31"/>
        <v>400</v>
      </c>
      <c r="T79">
        <f t="shared" si="32"/>
        <v>220</v>
      </c>
      <c r="U79">
        <f t="shared" si="33"/>
        <v>180</v>
      </c>
      <c r="V79">
        <f t="shared" si="34"/>
        <v>-123</v>
      </c>
      <c r="W79">
        <f t="shared" si="35"/>
        <v>180</v>
      </c>
      <c r="X79">
        <f t="shared" si="36"/>
        <v>400</v>
      </c>
    </row>
    <row r="80" spans="1:24" ht="14.45" x14ac:dyDescent="0.35">
      <c r="A80" s="7">
        <f>B80/(1-Assump!$D$4)</f>
        <v>403.03030303030306</v>
      </c>
      <c r="B80" s="1">
        <v>380</v>
      </c>
      <c r="C80" s="9">
        <f t="shared" si="20"/>
        <v>220</v>
      </c>
      <c r="D80">
        <f t="shared" si="21"/>
        <v>220</v>
      </c>
      <c r="E80">
        <f t="shared" si="22"/>
        <v>-118</v>
      </c>
      <c r="F80">
        <f t="shared" si="23"/>
        <v>180</v>
      </c>
      <c r="G80">
        <f t="shared" si="24"/>
        <v>400</v>
      </c>
      <c r="H80">
        <f t="shared" si="25"/>
        <v>20</v>
      </c>
      <c r="I80">
        <f t="shared" si="29"/>
        <v>160</v>
      </c>
      <c r="J80">
        <f t="shared" si="19"/>
        <v>0</v>
      </c>
      <c r="L80">
        <f t="shared" si="26"/>
        <v>4120</v>
      </c>
      <c r="M80">
        <f t="shared" si="27"/>
        <v>160</v>
      </c>
      <c r="N80" s="9" t="e">
        <f>IF(OR($B80&gt;Assump!$E$9,$B80&lt;HVDC_Received_Max),NA(),NI_demand*2)</f>
        <v>#N/A</v>
      </c>
      <c r="O80">
        <f t="shared" si="28"/>
        <v>4280</v>
      </c>
      <c r="R80">
        <f t="shared" si="30"/>
        <v>380</v>
      </c>
      <c r="S80" s="3">
        <f t="shared" si="31"/>
        <v>400</v>
      </c>
      <c r="T80">
        <f t="shared" si="32"/>
        <v>220</v>
      </c>
      <c r="U80">
        <f t="shared" si="33"/>
        <v>180</v>
      </c>
      <c r="V80">
        <f t="shared" si="34"/>
        <v>-118</v>
      </c>
      <c r="W80">
        <f t="shared" si="35"/>
        <v>180</v>
      </c>
      <c r="X80">
        <f t="shared" si="36"/>
        <v>400</v>
      </c>
    </row>
    <row r="81" spans="1:24" ht="14.45" x14ac:dyDescent="0.35">
      <c r="A81" s="7">
        <f>B81/(1-Assump!$D$4)</f>
        <v>408.33333333333331</v>
      </c>
      <c r="B81" s="1">
        <v>385</v>
      </c>
      <c r="C81" s="9">
        <f t="shared" si="20"/>
        <v>220</v>
      </c>
      <c r="D81">
        <f t="shared" si="21"/>
        <v>220</v>
      </c>
      <c r="E81">
        <f t="shared" si="22"/>
        <v>-113</v>
      </c>
      <c r="F81">
        <f t="shared" si="23"/>
        <v>180</v>
      </c>
      <c r="G81">
        <f t="shared" si="24"/>
        <v>400</v>
      </c>
      <c r="H81">
        <f t="shared" si="25"/>
        <v>20</v>
      </c>
      <c r="I81">
        <f t="shared" si="29"/>
        <v>160</v>
      </c>
      <c r="J81">
        <f t="shared" si="19"/>
        <v>0</v>
      </c>
      <c r="L81">
        <f t="shared" si="26"/>
        <v>4115</v>
      </c>
      <c r="M81">
        <f t="shared" si="27"/>
        <v>160</v>
      </c>
      <c r="N81" s="9" t="e">
        <f>IF(OR($B81&gt;Assump!$E$9,$B81&lt;HVDC_Received_Max),NA(),NI_demand*2)</f>
        <v>#N/A</v>
      </c>
      <c r="O81">
        <f t="shared" si="28"/>
        <v>4275</v>
      </c>
      <c r="R81">
        <f t="shared" si="30"/>
        <v>385</v>
      </c>
      <c r="S81" s="3">
        <f t="shared" si="31"/>
        <v>400</v>
      </c>
      <c r="T81">
        <f t="shared" si="32"/>
        <v>220</v>
      </c>
      <c r="U81">
        <f t="shared" si="33"/>
        <v>180</v>
      </c>
      <c r="V81">
        <f t="shared" si="34"/>
        <v>-113</v>
      </c>
      <c r="W81">
        <f t="shared" si="35"/>
        <v>180</v>
      </c>
      <c r="X81">
        <f t="shared" si="36"/>
        <v>400</v>
      </c>
    </row>
    <row r="82" spans="1:24" ht="14.45" x14ac:dyDescent="0.35">
      <c r="A82" s="7">
        <f>B82/(1-Assump!$D$4)</f>
        <v>413.63636363636363</v>
      </c>
      <c r="B82" s="1">
        <v>390</v>
      </c>
      <c r="C82" s="9">
        <f t="shared" si="20"/>
        <v>220</v>
      </c>
      <c r="D82">
        <f t="shared" si="21"/>
        <v>220</v>
      </c>
      <c r="E82">
        <f t="shared" si="22"/>
        <v>-108</v>
      </c>
      <c r="F82">
        <f t="shared" si="23"/>
        <v>180</v>
      </c>
      <c r="G82">
        <f t="shared" si="24"/>
        <v>400</v>
      </c>
      <c r="H82">
        <f t="shared" si="25"/>
        <v>20</v>
      </c>
      <c r="I82">
        <f t="shared" si="29"/>
        <v>160</v>
      </c>
      <c r="J82">
        <f t="shared" si="19"/>
        <v>0</v>
      </c>
      <c r="L82">
        <f t="shared" si="26"/>
        <v>4110</v>
      </c>
      <c r="M82">
        <f t="shared" si="27"/>
        <v>160</v>
      </c>
      <c r="N82" s="9" t="e">
        <f>IF(OR($B82&gt;Assump!$E$9,$B82&lt;HVDC_Received_Max),NA(),NI_demand*2)</f>
        <v>#N/A</v>
      </c>
      <c r="O82">
        <f t="shared" si="28"/>
        <v>4270</v>
      </c>
      <c r="R82">
        <f t="shared" si="30"/>
        <v>390</v>
      </c>
      <c r="S82" s="3">
        <f t="shared" si="31"/>
        <v>400</v>
      </c>
      <c r="T82">
        <f t="shared" si="32"/>
        <v>220</v>
      </c>
      <c r="U82">
        <f t="shared" si="33"/>
        <v>180</v>
      </c>
      <c r="V82">
        <f t="shared" si="34"/>
        <v>-108</v>
      </c>
      <c r="W82">
        <f t="shared" si="35"/>
        <v>180</v>
      </c>
      <c r="X82">
        <f t="shared" si="36"/>
        <v>400</v>
      </c>
    </row>
    <row r="83" spans="1:24" ht="14.45" x14ac:dyDescent="0.35">
      <c r="A83" s="7">
        <f>B83/(1-Assump!$D$4)</f>
        <v>418.93939393939394</v>
      </c>
      <c r="B83" s="1">
        <v>395</v>
      </c>
      <c r="C83" s="9">
        <f t="shared" si="20"/>
        <v>220</v>
      </c>
      <c r="D83">
        <f t="shared" si="21"/>
        <v>220</v>
      </c>
      <c r="E83">
        <f t="shared" si="22"/>
        <v>-103</v>
      </c>
      <c r="F83">
        <f t="shared" si="23"/>
        <v>180</v>
      </c>
      <c r="G83">
        <f t="shared" si="24"/>
        <v>400</v>
      </c>
      <c r="H83">
        <f t="shared" si="25"/>
        <v>20</v>
      </c>
      <c r="I83">
        <f t="shared" si="29"/>
        <v>160</v>
      </c>
      <c r="J83">
        <f t="shared" si="19"/>
        <v>0</v>
      </c>
      <c r="L83">
        <f t="shared" si="26"/>
        <v>4105</v>
      </c>
      <c r="M83">
        <f t="shared" si="27"/>
        <v>160</v>
      </c>
      <c r="N83" s="9" t="e">
        <f>IF(OR($B83&gt;Assump!$E$9,$B83&lt;HVDC_Received_Max),NA(),NI_demand*2)</f>
        <v>#N/A</v>
      </c>
      <c r="O83">
        <f t="shared" si="28"/>
        <v>4265</v>
      </c>
      <c r="R83">
        <f t="shared" si="30"/>
        <v>395</v>
      </c>
      <c r="S83" s="3">
        <f t="shared" si="31"/>
        <v>400</v>
      </c>
      <c r="T83">
        <f t="shared" si="32"/>
        <v>220</v>
      </c>
      <c r="U83">
        <f t="shared" si="33"/>
        <v>180</v>
      </c>
      <c r="V83">
        <f t="shared" si="34"/>
        <v>-103</v>
      </c>
      <c r="W83">
        <f t="shared" si="35"/>
        <v>180</v>
      </c>
      <c r="X83">
        <f t="shared" si="36"/>
        <v>400</v>
      </c>
    </row>
    <row r="84" spans="1:24" ht="14.45" x14ac:dyDescent="0.35">
      <c r="A84" s="7">
        <f>B84/(1-Assump!$D$4)</f>
        <v>424.24242424242425</v>
      </c>
      <c r="B84" s="1">
        <v>400</v>
      </c>
      <c r="C84" s="9">
        <f t="shared" si="20"/>
        <v>220</v>
      </c>
      <c r="D84">
        <f t="shared" si="21"/>
        <v>220</v>
      </c>
      <c r="E84">
        <f t="shared" si="22"/>
        <v>-98</v>
      </c>
      <c r="F84">
        <f t="shared" si="23"/>
        <v>180</v>
      </c>
      <c r="G84">
        <f t="shared" si="24"/>
        <v>400</v>
      </c>
      <c r="H84">
        <f t="shared" si="25"/>
        <v>20</v>
      </c>
      <c r="I84">
        <f t="shared" si="29"/>
        <v>160</v>
      </c>
      <c r="J84">
        <f t="shared" si="19"/>
        <v>0</v>
      </c>
      <c r="L84">
        <f t="shared" si="26"/>
        <v>4100</v>
      </c>
      <c r="M84">
        <f t="shared" si="27"/>
        <v>160</v>
      </c>
      <c r="N84" s="9" t="e">
        <f>IF(OR($B84&gt;Assump!$E$9,$B84&lt;HVDC_Received_Max),NA(),NI_demand*2)</f>
        <v>#N/A</v>
      </c>
      <c r="O84">
        <f t="shared" si="28"/>
        <v>4260</v>
      </c>
      <c r="R84">
        <f t="shared" si="30"/>
        <v>400</v>
      </c>
      <c r="S84" s="3">
        <f t="shared" si="31"/>
        <v>400</v>
      </c>
      <c r="T84">
        <f t="shared" si="32"/>
        <v>220</v>
      </c>
      <c r="U84">
        <f t="shared" si="33"/>
        <v>180</v>
      </c>
      <c r="V84">
        <f t="shared" si="34"/>
        <v>-98</v>
      </c>
      <c r="W84">
        <f t="shared" si="35"/>
        <v>180</v>
      </c>
      <c r="X84">
        <f t="shared" si="36"/>
        <v>400</v>
      </c>
    </row>
    <row r="85" spans="1:24" ht="14.45" x14ac:dyDescent="0.35">
      <c r="A85" s="7">
        <f>B85/(1-Assump!$D$4)</f>
        <v>429.54545454545456</v>
      </c>
      <c r="B85" s="1">
        <v>405</v>
      </c>
      <c r="C85" s="9">
        <f t="shared" si="20"/>
        <v>220</v>
      </c>
      <c r="D85">
        <f t="shared" si="21"/>
        <v>220</v>
      </c>
      <c r="E85">
        <f t="shared" si="22"/>
        <v>-93</v>
      </c>
      <c r="F85">
        <f t="shared" si="23"/>
        <v>180</v>
      </c>
      <c r="G85">
        <f t="shared" si="24"/>
        <v>400</v>
      </c>
      <c r="H85">
        <f t="shared" si="25"/>
        <v>20</v>
      </c>
      <c r="I85">
        <f t="shared" si="29"/>
        <v>160</v>
      </c>
      <c r="J85">
        <f t="shared" si="19"/>
        <v>0</v>
      </c>
      <c r="L85">
        <f t="shared" si="26"/>
        <v>4095</v>
      </c>
      <c r="M85">
        <f t="shared" si="27"/>
        <v>160</v>
      </c>
      <c r="N85" s="9" t="e">
        <f>IF(OR($B85&gt;Assump!$E$9,$B85&lt;HVDC_Received_Max),NA(),NI_demand*2)</f>
        <v>#N/A</v>
      </c>
      <c r="O85">
        <f t="shared" si="28"/>
        <v>4255</v>
      </c>
      <c r="R85">
        <f t="shared" si="30"/>
        <v>405</v>
      </c>
      <c r="S85" s="3">
        <f t="shared" si="31"/>
        <v>400</v>
      </c>
      <c r="T85">
        <f t="shared" si="32"/>
        <v>220</v>
      </c>
      <c r="U85">
        <f t="shared" si="33"/>
        <v>180</v>
      </c>
      <c r="V85">
        <f t="shared" si="34"/>
        <v>-93</v>
      </c>
      <c r="W85">
        <f t="shared" si="35"/>
        <v>180</v>
      </c>
      <c r="X85">
        <f t="shared" si="36"/>
        <v>400</v>
      </c>
    </row>
    <row r="86" spans="1:24" ht="14.45" x14ac:dyDescent="0.35">
      <c r="A86" s="7">
        <f>B86/(1-Assump!$D$4)</f>
        <v>434.84848484848487</v>
      </c>
      <c r="B86" s="1">
        <v>410</v>
      </c>
      <c r="C86" s="9">
        <f t="shared" si="20"/>
        <v>220</v>
      </c>
      <c r="D86">
        <f t="shared" si="21"/>
        <v>220</v>
      </c>
      <c r="E86">
        <f t="shared" si="22"/>
        <v>-88</v>
      </c>
      <c r="F86">
        <f t="shared" si="23"/>
        <v>180</v>
      </c>
      <c r="G86">
        <f t="shared" si="24"/>
        <v>400</v>
      </c>
      <c r="H86">
        <f t="shared" si="25"/>
        <v>20</v>
      </c>
      <c r="I86">
        <f t="shared" si="29"/>
        <v>160</v>
      </c>
      <c r="J86">
        <f t="shared" si="19"/>
        <v>0</v>
      </c>
      <c r="L86">
        <f t="shared" si="26"/>
        <v>4090</v>
      </c>
      <c r="M86">
        <f t="shared" si="27"/>
        <v>160</v>
      </c>
      <c r="N86" s="9" t="e">
        <f>IF(OR($B86&gt;Assump!$E$9,$B86&lt;HVDC_Received_Max),NA(),NI_demand*2)</f>
        <v>#N/A</v>
      </c>
      <c r="O86">
        <f t="shared" si="28"/>
        <v>4250</v>
      </c>
      <c r="R86">
        <f t="shared" si="30"/>
        <v>410</v>
      </c>
      <c r="S86" s="3">
        <f t="shared" si="31"/>
        <v>400</v>
      </c>
      <c r="T86">
        <f t="shared" si="32"/>
        <v>220</v>
      </c>
      <c r="U86">
        <f t="shared" si="33"/>
        <v>180</v>
      </c>
      <c r="V86">
        <f t="shared" si="34"/>
        <v>-88</v>
      </c>
      <c r="W86">
        <f t="shared" si="35"/>
        <v>180</v>
      </c>
      <c r="X86">
        <f t="shared" si="36"/>
        <v>400</v>
      </c>
    </row>
    <row r="87" spans="1:24" ht="14.45" x14ac:dyDescent="0.35">
      <c r="A87" s="7">
        <f>B87/(1-Assump!$D$4)</f>
        <v>440.15151515151518</v>
      </c>
      <c r="B87" s="1">
        <v>415</v>
      </c>
      <c r="C87" s="9">
        <f t="shared" si="20"/>
        <v>220</v>
      </c>
      <c r="D87">
        <f t="shared" si="21"/>
        <v>220</v>
      </c>
      <c r="E87">
        <f t="shared" si="22"/>
        <v>-83</v>
      </c>
      <c r="F87">
        <f t="shared" si="23"/>
        <v>180</v>
      </c>
      <c r="G87">
        <f t="shared" si="24"/>
        <v>400</v>
      </c>
      <c r="H87">
        <f t="shared" si="25"/>
        <v>20</v>
      </c>
      <c r="I87">
        <f t="shared" si="29"/>
        <v>160</v>
      </c>
      <c r="J87">
        <f t="shared" si="19"/>
        <v>0</v>
      </c>
      <c r="L87">
        <f t="shared" si="26"/>
        <v>4085</v>
      </c>
      <c r="M87">
        <f t="shared" si="27"/>
        <v>160</v>
      </c>
      <c r="N87" s="9" t="e">
        <f>IF(OR($B87&gt;Assump!$E$9,$B87&lt;HVDC_Received_Max),NA(),NI_demand*2)</f>
        <v>#N/A</v>
      </c>
      <c r="O87">
        <f t="shared" si="28"/>
        <v>4245</v>
      </c>
      <c r="R87">
        <f t="shared" si="30"/>
        <v>415</v>
      </c>
      <c r="S87" s="3">
        <f t="shared" si="31"/>
        <v>400</v>
      </c>
      <c r="T87">
        <f t="shared" si="32"/>
        <v>220</v>
      </c>
      <c r="U87">
        <f t="shared" si="33"/>
        <v>180</v>
      </c>
      <c r="V87">
        <f t="shared" si="34"/>
        <v>-83</v>
      </c>
      <c r="W87">
        <f t="shared" si="35"/>
        <v>180</v>
      </c>
      <c r="X87">
        <f t="shared" si="36"/>
        <v>400</v>
      </c>
    </row>
    <row r="88" spans="1:24" ht="14.45" x14ac:dyDescent="0.35">
      <c r="A88" s="7">
        <f>B88/(1-Assump!$D$4)</f>
        <v>445.45454545454544</v>
      </c>
      <c r="B88" s="1">
        <v>420</v>
      </c>
      <c r="C88" s="9">
        <f t="shared" si="20"/>
        <v>220</v>
      </c>
      <c r="D88">
        <f t="shared" si="21"/>
        <v>220</v>
      </c>
      <c r="E88">
        <f t="shared" si="22"/>
        <v>-78</v>
      </c>
      <c r="F88">
        <f t="shared" si="23"/>
        <v>180</v>
      </c>
      <c r="G88">
        <f t="shared" si="24"/>
        <v>400</v>
      </c>
      <c r="H88">
        <f t="shared" si="25"/>
        <v>20</v>
      </c>
      <c r="I88">
        <f t="shared" si="29"/>
        <v>160</v>
      </c>
      <c r="J88">
        <f t="shared" si="19"/>
        <v>0</v>
      </c>
      <c r="L88">
        <f t="shared" si="26"/>
        <v>4080</v>
      </c>
      <c r="M88">
        <f t="shared" si="27"/>
        <v>160</v>
      </c>
      <c r="N88" s="9" t="e">
        <f>IF(OR($B88&gt;Assump!$E$9,$B88&lt;HVDC_Received_Max),NA(),NI_demand*2)</f>
        <v>#N/A</v>
      </c>
      <c r="O88">
        <f t="shared" si="28"/>
        <v>4240</v>
      </c>
      <c r="R88">
        <f t="shared" si="30"/>
        <v>420</v>
      </c>
      <c r="S88" s="3">
        <f t="shared" si="31"/>
        <v>400</v>
      </c>
      <c r="T88">
        <f t="shared" si="32"/>
        <v>220</v>
      </c>
      <c r="U88">
        <f t="shared" si="33"/>
        <v>180</v>
      </c>
      <c r="V88">
        <f t="shared" si="34"/>
        <v>-78</v>
      </c>
      <c r="W88">
        <f t="shared" si="35"/>
        <v>180</v>
      </c>
      <c r="X88">
        <f t="shared" si="36"/>
        <v>400</v>
      </c>
    </row>
    <row r="89" spans="1:24" ht="14.45" x14ac:dyDescent="0.35">
      <c r="A89" s="7">
        <f>B89/(1-Assump!$D$4)</f>
        <v>450.75757575757575</v>
      </c>
      <c r="B89" s="1">
        <v>425</v>
      </c>
      <c r="C89" s="9">
        <f t="shared" si="20"/>
        <v>220</v>
      </c>
      <c r="D89">
        <f t="shared" si="21"/>
        <v>220</v>
      </c>
      <c r="E89">
        <f t="shared" si="22"/>
        <v>-73</v>
      </c>
      <c r="F89">
        <f t="shared" si="23"/>
        <v>180</v>
      </c>
      <c r="G89">
        <f t="shared" si="24"/>
        <v>400</v>
      </c>
      <c r="H89">
        <f t="shared" si="25"/>
        <v>20</v>
      </c>
      <c r="I89">
        <f t="shared" si="29"/>
        <v>160</v>
      </c>
      <c r="J89">
        <f t="shared" si="19"/>
        <v>0</v>
      </c>
      <c r="L89">
        <f t="shared" si="26"/>
        <v>4075</v>
      </c>
      <c r="M89">
        <f t="shared" si="27"/>
        <v>160</v>
      </c>
      <c r="N89" s="9" t="e">
        <f>IF(OR($B89&gt;Assump!$E$9,$B89&lt;HVDC_Received_Max),NA(),NI_demand*2)</f>
        <v>#N/A</v>
      </c>
      <c r="O89">
        <f t="shared" si="28"/>
        <v>4235</v>
      </c>
      <c r="R89">
        <f t="shared" si="30"/>
        <v>425</v>
      </c>
      <c r="S89" s="3">
        <f t="shared" si="31"/>
        <v>400</v>
      </c>
      <c r="T89">
        <f t="shared" si="32"/>
        <v>220</v>
      </c>
      <c r="U89">
        <f t="shared" si="33"/>
        <v>180</v>
      </c>
      <c r="V89">
        <f t="shared" si="34"/>
        <v>-73</v>
      </c>
      <c r="W89">
        <f t="shared" si="35"/>
        <v>180</v>
      </c>
      <c r="X89">
        <f t="shared" si="36"/>
        <v>400</v>
      </c>
    </row>
    <row r="90" spans="1:24" ht="14.45" x14ac:dyDescent="0.35">
      <c r="A90" s="7">
        <f>B90/(1-Assump!$D$4)</f>
        <v>456.06060606060606</v>
      </c>
      <c r="B90" s="1">
        <v>430</v>
      </c>
      <c r="C90" s="9">
        <f t="shared" si="20"/>
        <v>220</v>
      </c>
      <c r="D90">
        <f t="shared" si="21"/>
        <v>220</v>
      </c>
      <c r="E90">
        <f t="shared" si="22"/>
        <v>-68</v>
      </c>
      <c r="F90">
        <f t="shared" si="23"/>
        <v>180</v>
      </c>
      <c r="G90">
        <f t="shared" si="24"/>
        <v>400</v>
      </c>
      <c r="H90">
        <f t="shared" si="25"/>
        <v>20</v>
      </c>
      <c r="I90">
        <f t="shared" si="29"/>
        <v>160</v>
      </c>
      <c r="J90">
        <f t="shared" si="19"/>
        <v>0</v>
      </c>
      <c r="L90">
        <f t="shared" si="26"/>
        <v>4070</v>
      </c>
      <c r="M90">
        <f t="shared" si="27"/>
        <v>160</v>
      </c>
      <c r="N90" s="9" t="e">
        <f>IF(OR($B90&gt;Assump!$E$9,$B90&lt;HVDC_Received_Max),NA(),NI_demand*2)</f>
        <v>#N/A</v>
      </c>
      <c r="O90">
        <f t="shared" si="28"/>
        <v>4230</v>
      </c>
      <c r="R90">
        <f t="shared" si="30"/>
        <v>430</v>
      </c>
      <c r="S90" s="3">
        <f t="shared" si="31"/>
        <v>400</v>
      </c>
      <c r="T90">
        <f t="shared" si="32"/>
        <v>220</v>
      </c>
      <c r="U90">
        <f t="shared" si="33"/>
        <v>180</v>
      </c>
      <c r="V90">
        <f t="shared" si="34"/>
        <v>-68</v>
      </c>
      <c r="W90">
        <f t="shared" si="35"/>
        <v>180</v>
      </c>
      <c r="X90">
        <f t="shared" si="36"/>
        <v>400</v>
      </c>
    </row>
    <row r="91" spans="1:24" ht="14.45" x14ac:dyDescent="0.35">
      <c r="A91" s="7">
        <f>B91/(1-Assump!$D$4)</f>
        <v>461.36363636363637</v>
      </c>
      <c r="B91" s="1">
        <v>435</v>
      </c>
      <c r="C91" s="9">
        <f t="shared" si="20"/>
        <v>220</v>
      </c>
      <c r="D91">
        <f t="shared" si="21"/>
        <v>220</v>
      </c>
      <c r="E91">
        <f t="shared" si="22"/>
        <v>-63</v>
      </c>
      <c r="F91">
        <f t="shared" si="23"/>
        <v>180</v>
      </c>
      <c r="G91">
        <f t="shared" si="24"/>
        <v>400</v>
      </c>
      <c r="H91">
        <f t="shared" si="25"/>
        <v>20</v>
      </c>
      <c r="I91">
        <f t="shared" si="29"/>
        <v>160</v>
      </c>
      <c r="J91">
        <f t="shared" si="19"/>
        <v>0</v>
      </c>
      <c r="L91">
        <f t="shared" si="26"/>
        <v>4065</v>
      </c>
      <c r="M91">
        <f t="shared" si="27"/>
        <v>160</v>
      </c>
      <c r="N91" s="9" t="e">
        <f>IF(OR($B91&gt;Assump!$E$9,$B91&lt;HVDC_Received_Max),NA(),NI_demand*2)</f>
        <v>#N/A</v>
      </c>
      <c r="O91">
        <f t="shared" si="28"/>
        <v>4225</v>
      </c>
      <c r="R91">
        <f t="shared" si="30"/>
        <v>435</v>
      </c>
      <c r="S91" s="3">
        <f t="shared" si="31"/>
        <v>400</v>
      </c>
      <c r="T91">
        <f t="shared" si="32"/>
        <v>220</v>
      </c>
      <c r="U91">
        <f t="shared" si="33"/>
        <v>180</v>
      </c>
      <c r="V91">
        <f t="shared" si="34"/>
        <v>-63</v>
      </c>
      <c r="W91">
        <f t="shared" si="35"/>
        <v>180</v>
      </c>
      <c r="X91">
        <f t="shared" si="36"/>
        <v>400</v>
      </c>
    </row>
    <row r="92" spans="1:24" ht="14.45" x14ac:dyDescent="0.35">
      <c r="A92" s="7">
        <f>B92/(1-Assump!$D$4)</f>
        <v>466.66666666666669</v>
      </c>
      <c r="B92" s="1">
        <v>440</v>
      </c>
      <c r="C92" s="9">
        <f t="shared" si="20"/>
        <v>220</v>
      </c>
      <c r="D92">
        <f t="shared" si="21"/>
        <v>220</v>
      </c>
      <c r="E92">
        <f t="shared" si="22"/>
        <v>-58</v>
      </c>
      <c r="F92">
        <f t="shared" si="23"/>
        <v>180</v>
      </c>
      <c r="G92">
        <f t="shared" si="24"/>
        <v>400</v>
      </c>
      <c r="H92">
        <f t="shared" si="25"/>
        <v>20</v>
      </c>
      <c r="I92">
        <f t="shared" si="29"/>
        <v>160</v>
      </c>
      <c r="J92">
        <f t="shared" si="19"/>
        <v>0</v>
      </c>
      <c r="L92">
        <f t="shared" si="26"/>
        <v>4060</v>
      </c>
      <c r="M92">
        <f t="shared" si="27"/>
        <v>160</v>
      </c>
      <c r="N92" s="9" t="e">
        <f>IF(OR($B92&gt;Assump!$E$9,$B92&lt;HVDC_Received_Max),NA(),NI_demand*2)</f>
        <v>#N/A</v>
      </c>
      <c r="O92">
        <f t="shared" si="28"/>
        <v>4220</v>
      </c>
      <c r="R92">
        <f t="shared" si="30"/>
        <v>440</v>
      </c>
      <c r="S92" s="3">
        <f t="shared" si="31"/>
        <v>400</v>
      </c>
      <c r="T92">
        <f t="shared" si="32"/>
        <v>220</v>
      </c>
      <c r="U92">
        <f t="shared" si="33"/>
        <v>180</v>
      </c>
      <c r="V92">
        <f t="shared" si="34"/>
        <v>-58</v>
      </c>
      <c r="W92">
        <f t="shared" si="35"/>
        <v>180</v>
      </c>
      <c r="X92">
        <f t="shared" si="36"/>
        <v>400</v>
      </c>
    </row>
    <row r="93" spans="1:24" ht="14.45" x14ac:dyDescent="0.35">
      <c r="A93" s="7">
        <f>B93/(1-Assump!$D$4)</f>
        <v>471.969696969697</v>
      </c>
      <c r="B93" s="1">
        <v>445</v>
      </c>
      <c r="C93" s="9">
        <f t="shared" si="20"/>
        <v>220</v>
      </c>
      <c r="D93">
        <f t="shared" si="21"/>
        <v>220</v>
      </c>
      <c r="E93">
        <f t="shared" si="22"/>
        <v>-53</v>
      </c>
      <c r="F93">
        <f t="shared" si="23"/>
        <v>180</v>
      </c>
      <c r="G93">
        <f t="shared" si="24"/>
        <v>400</v>
      </c>
      <c r="H93">
        <f t="shared" si="25"/>
        <v>20</v>
      </c>
      <c r="I93">
        <f t="shared" si="29"/>
        <v>160</v>
      </c>
      <c r="J93">
        <f t="shared" si="19"/>
        <v>0</v>
      </c>
      <c r="L93">
        <f t="shared" si="26"/>
        <v>4055</v>
      </c>
      <c r="M93">
        <f t="shared" si="27"/>
        <v>160</v>
      </c>
      <c r="N93" s="9" t="e">
        <f>IF(OR($B93&gt;Assump!$E$9,$B93&lt;HVDC_Received_Max),NA(),NI_demand*2)</f>
        <v>#N/A</v>
      </c>
      <c r="O93">
        <f t="shared" si="28"/>
        <v>4215</v>
      </c>
      <c r="R93">
        <f t="shared" si="30"/>
        <v>445</v>
      </c>
      <c r="S93" s="3">
        <f t="shared" si="31"/>
        <v>400</v>
      </c>
      <c r="T93">
        <f t="shared" si="32"/>
        <v>220</v>
      </c>
      <c r="U93">
        <f t="shared" si="33"/>
        <v>180</v>
      </c>
      <c r="V93">
        <f t="shared" si="34"/>
        <v>-53</v>
      </c>
      <c r="W93">
        <f t="shared" si="35"/>
        <v>180</v>
      </c>
      <c r="X93">
        <f t="shared" si="36"/>
        <v>400</v>
      </c>
    </row>
    <row r="94" spans="1:24" ht="14.45" x14ac:dyDescent="0.35">
      <c r="A94" s="7">
        <f>B94/(1-Assump!$D$4)</f>
        <v>477.27272727272731</v>
      </c>
      <c r="B94" s="1">
        <v>450</v>
      </c>
      <c r="C94" s="9">
        <f t="shared" si="20"/>
        <v>220</v>
      </c>
      <c r="D94">
        <f t="shared" si="21"/>
        <v>220</v>
      </c>
      <c r="E94">
        <f t="shared" si="22"/>
        <v>-48</v>
      </c>
      <c r="F94">
        <f t="shared" si="23"/>
        <v>180</v>
      </c>
      <c r="G94">
        <f t="shared" si="24"/>
        <v>400</v>
      </c>
      <c r="H94">
        <f t="shared" si="25"/>
        <v>20</v>
      </c>
      <c r="I94">
        <f t="shared" si="29"/>
        <v>160</v>
      </c>
      <c r="J94">
        <f t="shared" si="19"/>
        <v>0</v>
      </c>
      <c r="L94">
        <f t="shared" si="26"/>
        <v>4050</v>
      </c>
      <c r="M94">
        <f t="shared" si="27"/>
        <v>160</v>
      </c>
      <c r="N94" s="9" t="e">
        <f>IF(OR($B94&gt;Assump!$E$9,$B94&lt;HVDC_Received_Max),NA(),NI_demand*2)</f>
        <v>#N/A</v>
      </c>
      <c r="O94">
        <f t="shared" si="28"/>
        <v>4210</v>
      </c>
      <c r="R94">
        <f t="shared" si="30"/>
        <v>450</v>
      </c>
      <c r="S94" s="3">
        <f t="shared" si="31"/>
        <v>400</v>
      </c>
      <c r="T94">
        <f t="shared" si="32"/>
        <v>220</v>
      </c>
      <c r="U94">
        <f t="shared" si="33"/>
        <v>180</v>
      </c>
      <c r="V94">
        <f t="shared" si="34"/>
        <v>-48</v>
      </c>
      <c r="W94">
        <f t="shared" si="35"/>
        <v>180</v>
      </c>
      <c r="X94">
        <f t="shared" si="36"/>
        <v>400</v>
      </c>
    </row>
    <row r="95" spans="1:24" ht="14.45" x14ac:dyDescent="0.35">
      <c r="A95" s="7">
        <f>B95/(1-Assump!$D$4)</f>
        <v>482.57575757575756</v>
      </c>
      <c r="B95" s="1">
        <v>455</v>
      </c>
      <c r="C95" s="9">
        <f t="shared" si="20"/>
        <v>220</v>
      </c>
      <c r="D95">
        <f t="shared" si="21"/>
        <v>220</v>
      </c>
      <c r="E95">
        <f t="shared" si="22"/>
        <v>-43</v>
      </c>
      <c r="F95">
        <f t="shared" si="23"/>
        <v>180</v>
      </c>
      <c r="G95">
        <f t="shared" si="24"/>
        <v>400</v>
      </c>
      <c r="H95">
        <f t="shared" si="25"/>
        <v>20</v>
      </c>
      <c r="I95">
        <f t="shared" si="29"/>
        <v>160</v>
      </c>
      <c r="J95">
        <f t="shared" si="19"/>
        <v>0</v>
      </c>
      <c r="L95">
        <f t="shared" si="26"/>
        <v>4045</v>
      </c>
      <c r="M95">
        <f t="shared" si="27"/>
        <v>160</v>
      </c>
      <c r="N95" s="9" t="e">
        <f>IF(OR($B95&gt;Assump!$E$9,$B95&lt;HVDC_Received_Max),NA(),NI_demand*2)</f>
        <v>#N/A</v>
      </c>
      <c r="O95">
        <f t="shared" si="28"/>
        <v>4205</v>
      </c>
      <c r="R95">
        <f t="shared" si="30"/>
        <v>455</v>
      </c>
      <c r="S95" s="3">
        <f t="shared" si="31"/>
        <v>400</v>
      </c>
      <c r="T95">
        <f t="shared" si="32"/>
        <v>220</v>
      </c>
      <c r="U95">
        <f t="shared" si="33"/>
        <v>180</v>
      </c>
      <c r="V95">
        <f t="shared" si="34"/>
        <v>-43</v>
      </c>
      <c r="W95">
        <f t="shared" si="35"/>
        <v>180</v>
      </c>
      <c r="X95">
        <f t="shared" si="36"/>
        <v>400</v>
      </c>
    </row>
    <row r="96" spans="1:24" ht="14.45" x14ac:dyDescent="0.35">
      <c r="A96" s="7">
        <f>B96/(1-Assump!$D$4)</f>
        <v>487.87878787878788</v>
      </c>
      <c r="B96" s="1">
        <v>460</v>
      </c>
      <c r="C96" s="9">
        <f t="shared" si="20"/>
        <v>220</v>
      </c>
      <c r="D96">
        <f t="shared" si="21"/>
        <v>220</v>
      </c>
      <c r="E96">
        <f t="shared" si="22"/>
        <v>-38</v>
      </c>
      <c r="F96">
        <f t="shared" si="23"/>
        <v>180</v>
      </c>
      <c r="G96">
        <f t="shared" si="24"/>
        <v>400</v>
      </c>
      <c r="H96">
        <f t="shared" si="25"/>
        <v>20</v>
      </c>
      <c r="I96">
        <f t="shared" si="29"/>
        <v>160</v>
      </c>
      <c r="J96">
        <f t="shared" si="19"/>
        <v>0</v>
      </c>
      <c r="L96">
        <f t="shared" si="26"/>
        <v>4040</v>
      </c>
      <c r="M96">
        <f t="shared" si="27"/>
        <v>160</v>
      </c>
      <c r="N96" s="9" t="e">
        <f>IF(OR($B96&gt;Assump!$E$9,$B96&lt;HVDC_Received_Max),NA(),NI_demand*2)</f>
        <v>#N/A</v>
      </c>
      <c r="O96">
        <f t="shared" si="28"/>
        <v>4200</v>
      </c>
      <c r="R96">
        <f t="shared" si="30"/>
        <v>460</v>
      </c>
      <c r="S96" s="3">
        <f t="shared" si="31"/>
        <v>400</v>
      </c>
      <c r="T96">
        <f t="shared" si="32"/>
        <v>220</v>
      </c>
      <c r="U96">
        <f t="shared" si="33"/>
        <v>180</v>
      </c>
      <c r="V96">
        <f t="shared" si="34"/>
        <v>-38</v>
      </c>
      <c r="W96">
        <f t="shared" si="35"/>
        <v>180</v>
      </c>
      <c r="X96">
        <f t="shared" si="36"/>
        <v>400</v>
      </c>
    </row>
    <row r="97" spans="1:24" ht="14.45" x14ac:dyDescent="0.35">
      <c r="A97" s="7">
        <f>B97/(1-Assump!$D$4)</f>
        <v>493.18181818181819</v>
      </c>
      <c r="B97" s="1">
        <v>465</v>
      </c>
      <c r="C97" s="9">
        <f t="shared" si="20"/>
        <v>220</v>
      </c>
      <c r="D97">
        <f t="shared" si="21"/>
        <v>220</v>
      </c>
      <c r="E97">
        <f t="shared" si="22"/>
        <v>-33</v>
      </c>
      <c r="F97">
        <f t="shared" si="23"/>
        <v>180</v>
      </c>
      <c r="G97">
        <f t="shared" si="24"/>
        <v>400</v>
      </c>
      <c r="H97">
        <f t="shared" si="25"/>
        <v>20</v>
      </c>
      <c r="I97">
        <f t="shared" si="29"/>
        <v>160</v>
      </c>
      <c r="J97">
        <f t="shared" ref="J97:J160" si="37">I97-I96</f>
        <v>0</v>
      </c>
      <c r="L97">
        <f t="shared" si="26"/>
        <v>4035</v>
      </c>
      <c r="M97">
        <f t="shared" si="27"/>
        <v>160</v>
      </c>
      <c r="N97" s="9" t="e">
        <f>IF(OR($B97&gt;Assump!$E$9,$B97&lt;HVDC_Received_Max),NA(),NI_demand*2)</f>
        <v>#N/A</v>
      </c>
      <c r="O97">
        <f t="shared" si="28"/>
        <v>4195</v>
      </c>
      <c r="R97">
        <f t="shared" si="30"/>
        <v>465</v>
      </c>
      <c r="S97" s="3">
        <f t="shared" si="31"/>
        <v>400</v>
      </c>
      <c r="T97">
        <f t="shared" si="32"/>
        <v>220</v>
      </c>
      <c r="U97">
        <f t="shared" si="33"/>
        <v>180</v>
      </c>
      <c r="V97">
        <f t="shared" si="34"/>
        <v>-33</v>
      </c>
      <c r="W97">
        <f t="shared" si="35"/>
        <v>180</v>
      </c>
      <c r="X97">
        <f t="shared" si="36"/>
        <v>400</v>
      </c>
    </row>
    <row r="98" spans="1:24" ht="14.45" x14ac:dyDescent="0.35">
      <c r="A98" s="7">
        <f>B98/(1-Assump!$D$4)</f>
        <v>498.4848484848485</v>
      </c>
      <c r="B98" s="1">
        <v>470</v>
      </c>
      <c r="C98" s="9">
        <f t="shared" si="20"/>
        <v>220</v>
      </c>
      <c r="D98">
        <f t="shared" si="21"/>
        <v>220</v>
      </c>
      <c r="E98">
        <f t="shared" si="22"/>
        <v>-28</v>
      </c>
      <c r="F98">
        <f t="shared" si="23"/>
        <v>180</v>
      </c>
      <c r="G98">
        <f t="shared" si="24"/>
        <v>400</v>
      </c>
      <c r="H98">
        <f t="shared" si="25"/>
        <v>20</v>
      </c>
      <c r="I98">
        <f t="shared" si="29"/>
        <v>160</v>
      </c>
      <c r="J98">
        <f t="shared" si="37"/>
        <v>0</v>
      </c>
      <c r="L98">
        <f t="shared" si="26"/>
        <v>4030</v>
      </c>
      <c r="M98">
        <f t="shared" si="27"/>
        <v>160</v>
      </c>
      <c r="N98" s="9" t="e">
        <f>IF(OR($B98&gt;Assump!$E$9,$B98&lt;HVDC_Received_Max),NA(),NI_demand*2)</f>
        <v>#N/A</v>
      </c>
      <c r="O98">
        <f t="shared" si="28"/>
        <v>4190</v>
      </c>
      <c r="R98">
        <f t="shared" si="30"/>
        <v>470</v>
      </c>
      <c r="S98" s="3">
        <f t="shared" si="31"/>
        <v>400</v>
      </c>
      <c r="T98">
        <f t="shared" si="32"/>
        <v>220</v>
      </c>
      <c r="U98">
        <f t="shared" si="33"/>
        <v>180</v>
      </c>
      <c r="V98">
        <f t="shared" si="34"/>
        <v>-28</v>
      </c>
      <c r="W98">
        <f t="shared" si="35"/>
        <v>180</v>
      </c>
      <c r="X98">
        <f t="shared" si="36"/>
        <v>400</v>
      </c>
    </row>
    <row r="99" spans="1:24" ht="14.45" x14ac:dyDescent="0.35">
      <c r="A99" s="7">
        <f>B99/(1-Assump!$D$4)</f>
        <v>503.78787878787881</v>
      </c>
      <c r="B99" s="1">
        <v>475</v>
      </c>
      <c r="C99" s="9">
        <f t="shared" si="20"/>
        <v>220</v>
      </c>
      <c r="D99">
        <f t="shared" si="21"/>
        <v>220</v>
      </c>
      <c r="E99">
        <f t="shared" si="22"/>
        <v>-23</v>
      </c>
      <c r="F99">
        <f t="shared" si="23"/>
        <v>180</v>
      </c>
      <c r="G99">
        <f t="shared" si="24"/>
        <v>400</v>
      </c>
      <c r="H99">
        <f t="shared" si="25"/>
        <v>20</v>
      </c>
      <c r="I99">
        <f t="shared" si="29"/>
        <v>160</v>
      </c>
      <c r="J99">
        <f t="shared" si="37"/>
        <v>0</v>
      </c>
      <c r="L99">
        <f t="shared" si="26"/>
        <v>4025</v>
      </c>
      <c r="M99">
        <f t="shared" si="27"/>
        <v>160</v>
      </c>
      <c r="N99" s="9" t="e">
        <f>IF(OR($B99&gt;Assump!$E$9,$B99&lt;HVDC_Received_Max),NA(),NI_demand*2)</f>
        <v>#N/A</v>
      </c>
      <c r="O99">
        <f t="shared" si="28"/>
        <v>4185</v>
      </c>
      <c r="R99">
        <f t="shared" si="30"/>
        <v>475</v>
      </c>
      <c r="S99" s="3">
        <f t="shared" si="31"/>
        <v>400</v>
      </c>
      <c r="T99">
        <f t="shared" si="32"/>
        <v>220</v>
      </c>
      <c r="U99">
        <f t="shared" si="33"/>
        <v>180</v>
      </c>
      <c r="V99">
        <f t="shared" si="34"/>
        <v>-23</v>
      </c>
      <c r="W99">
        <f t="shared" si="35"/>
        <v>180</v>
      </c>
      <c r="X99">
        <f t="shared" si="36"/>
        <v>400</v>
      </c>
    </row>
    <row r="100" spans="1:24" ht="14.45" x14ac:dyDescent="0.35">
      <c r="A100" s="7">
        <f>B100/(1-Assump!$D$4)</f>
        <v>509.09090909090912</v>
      </c>
      <c r="B100" s="1">
        <v>480</v>
      </c>
      <c r="C100" s="9">
        <f t="shared" si="20"/>
        <v>220</v>
      </c>
      <c r="D100">
        <f t="shared" si="21"/>
        <v>220</v>
      </c>
      <c r="E100">
        <f t="shared" si="22"/>
        <v>-18</v>
      </c>
      <c r="F100">
        <f t="shared" si="23"/>
        <v>180</v>
      </c>
      <c r="G100">
        <f t="shared" si="24"/>
        <v>400</v>
      </c>
      <c r="H100">
        <f t="shared" si="25"/>
        <v>20</v>
      </c>
      <c r="I100">
        <f t="shared" si="29"/>
        <v>160</v>
      </c>
      <c r="J100">
        <f t="shared" si="37"/>
        <v>0</v>
      </c>
      <c r="L100">
        <f t="shared" si="26"/>
        <v>4020</v>
      </c>
      <c r="M100">
        <f t="shared" si="27"/>
        <v>160</v>
      </c>
      <c r="N100" s="9" t="e">
        <f>IF(OR($B100&gt;Assump!$E$9,$B100&lt;HVDC_Received_Max),NA(),NI_demand*2)</f>
        <v>#N/A</v>
      </c>
      <c r="O100">
        <f t="shared" si="28"/>
        <v>4180</v>
      </c>
      <c r="R100">
        <f t="shared" si="30"/>
        <v>480</v>
      </c>
      <c r="S100" s="3">
        <f t="shared" si="31"/>
        <v>400</v>
      </c>
      <c r="T100">
        <f t="shared" si="32"/>
        <v>220</v>
      </c>
      <c r="U100">
        <f t="shared" si="33"/>
        <v>180</v>
      </c>
      <c r="V100">
        <f t="shared" si="34"/>
        <v>-18</v>
      </c>
      <c r="W100">
        <f t="shared" si="35"/>
        <v>180</v>
      </c>
      <c r="X100">
        <f t="shared" si="36"/>
        <v>400</v>
      </c>
    </row>
    <row r="101" spans="1:24" ht="14.45" x14ac:dyDescent="0.35">
      <c r="A101" s="7">
        <f>B101/(1-Assump!$D$4)</f>
        <v>514.39393939393938</v>
      </c>
      <c r="B101" s="1">
        <v>485</v>
      </c>
      <c r="C101" s="9">
        <f t="shared" si="20"/>
        <v>220</v>
      </c>
      <c r="D101">
        <f t="shared" si="21"/>
        <v>220</v>
      </c>
      <c r="E101">
        <f t="shared" si="22"/>
        <v>-13</v>
      </c>
      <c r="F101">
        <f t="shared" si="23"/>
        <v>180</v>
      </c>
      <c r="G101">
        <f t="shared" si="24"/>
        <v>400</v>
      </c>
      <c r="H101">
        <f t="shared" si="25"/>
        <v>20</v>
      </c>
      <c r="I101">
        <f t="shared" si="29"/>
        <v>160</v>
      </c>
      <c r="J101">
        <f t="shared" si="37"/>
        <v>0</v>
      </c>
      <c r="L101">
        <f t="shared" si="26"/>
        <v>4015</v>
      </c>
      <c r="M101">
        <f t="shared" si="27"/>
        <v>160</v>
      </c>
      <c r="N101" s="9" t="e">
        <f>IF(OR($B101&gt;Assump!$E$9,$B101&lt;HVDC_Received_Max),NA(),NI_demand*2)</f>
        <v>#N/A</v>
      </c>
      <c r="O101">
        <f t="shared" si="28"/>
        <v>4175</v>
      </c>
      <c r="R101">
        <f t="shared" si="30"/>
        <v>485</v>
      </c>
      <c r="S101" s="3">
        <f t="shared" si="31"/>
        <v>400</v>
      </c>
      <c r="T101">
        <f t="shared" si="32"/>
        <v>220</v>
      </c>
      <c r="U101">
        <f t="shared" si="33"/>
        <v>180</v>
      </c>
      <c r="V101">
        <f t="shared" si="34"/>
        <v>-13</v>
      </c>
      <c r="W101">
        <f t="shared" si="35"/>
        <v>180</v>
      </c>
      <c r="X101">
        <f t="shared" si="36"/>
        <v>400</v>
      </c>
    </row>
    <row r="102" spans="1:24" ht="14.45" x14ac:dyDescent="0.35">
      <c r="A102" s="7">
        <f>B102/(1-Assump!$D$4)</f>
        <v>519.69696969696975</v>
      </c>
      <c r="B102" s="1">
        <v>490</v>
      </c>
      <c r="C102" s="9">
        <f t="shared" si="20"/>
        <v>220</v>
      </c>
      <c r="D102">
        <f t="shared" si="21"/>
        <v>220</v>
      </c>
      <c r="E102">
        <f t="shared" si="22"/>
        <v>-8</v>
      </c>
      <c r="F102">
        <f t="shared" si="23"/>
        <v>180</v>
      </c>
      <c r="G102">
        <f t="shared" si="24"/>
        <v>400</v>
      </c>
      <c r="H102">
        <f t="shared" si="25"/>
        <v>20</v>
      </c>
      <c r="I102">
        <f t="shared" si="29"/>
        <v>160</v>
      </c>
      <c r="J102">
        <f t="shared" si="37"/>
        <v>0</v>
      </c>
      <c r="L102">
        <f t="shared" si="26"/>
        <v>4010</v>
      </c>
      <c r="M102">
        <f t="shared" si="27"/>
        <v>160</v>
      </c>
      <c r="N102" s="9" t="e">
        <f>IF(OR($B102&gt;Assump!$E$9,$B102&lt;HVDC_Received_Max),NA(),NI_demand*2)</f>
        <v>#N/A</v>
      </c>
      <c r="O102">
        <f t="shared" si="28"/>
        <v>4170</v>
      </c>
      <c r="R102">
        <f t="shared" si="30"/>
        <v>490</v>
      </c>
      <c r="S102" s="3">
        <f t="shared" si="31"/>
        <v>400</v>
      </c>
      <c r="T102">
        <f t="shared" si="32"/>
        <v>220</v>
      </c>
      <c r="U102">
        <f t="shared" si="33"/>
        <v>180</v>
      </c>
      <c r="V102">
        <f t="shared" si="34"/>
        <v>-8</v>
      </c>
      <c r="W102">
        <f t="shared" si="35"/>
        <v>180</v>
      </c>
      <c r="X102">
        <f t="shared" si="36"/>
        <v>400</v>
      </c>
    </row>
    <row r="103" spans="1:24" ht="14.45" x14ac:dyDescent="0.35">
      <c r="A103" s="7">
        <f>B103/(1-Assump!$D$4)</f>
        <v>525</v>
      </c>
      <c r="B103" s="1">
        <v>495</v>
      </c>
      <c r="C103" s="9">
        <f t="shared" si="20"/>
        <v>220</v>
      </c>
      <c r="D103">
        <f t="shared" si="21"/>
        <v>220</v>
      </c>
      <c r="E103">
        <f t="shared" si="22"/>
        <v>-3</v>
      </c>
      <c r="F103">
        <f t="shared" si="23"/>
        <v>180</v>
      </c>
      <c r="G103">
        <f t="shared" si="24"/>
        <v>400</v>
      </c>
      <c r="H103">
        <f t="shared" si="25"/>
        <v>20</v>
      </c>
      <c r="I103">
        <f t="shared" si="29"/>
        <v>160</v>
      </c>
      <c r="J103">
        <f t="shared" si="37"/>
        <v>0</v>
      </c>
      <c r="L103">
        <f t="shared" si="26"/>
        <v>4005</v>
      </c>
      <c r="M103">
        <f t="shared" si="27"/>
        <v>160</v>
      </c>
      <c r="N103" s="9" t="e">
        <f>IF(OR($B103&gt;Assump!$E$9,$B103&lt;HVDC_Received_Max),NA(),NI_demand*2)</f>
        <v>#N/A</v>
      </c>
      <c r="O103">
        <f t="shared" si="28"/>
        <v>4165</v>
      </c>
      <c r="R103">
        <f t="shared" si="30"/>
        <v>495</v>
      </c>
      <c r="S103" s="3">
        <f t="shared" si="31"/>
        <v>400</v>
      </c>
      <c r="T103">
        <f t="shared" si="32"/>
        <v>220</v>
      </c>
      <c r="U103">
        <f t="shared" si="33"/>
        <v>180</v>
      </c>
      <c r="V103">
        <f t="shared" si="34"/>
        <v>-3</v>
      </c>
      <c r="W103">
        <f t="shared" si="35"/>
        <v>180</v>
      </c>
      <c r="X103">
        <f t="shared" si="36"/>
        <v>400</v>
      </c>
    </row>
    <row r="104" spans="1:24" ht="14.45" x14ac:dyDescent="0.35">
      <c r="A104" s="7">
        <f>B104/(1-Assump!$D$4)</f>
        <v>530.30303030303037</v>
      </c>
      <c r="B104" s="1">
        <v>500</v>
      </c>
      <c r="C104" s="9">
        <f t="shared" si="20"/>
        <v>220</v>
      </c>
      <c r="D104">
        <f t="shared" si="21"/>
        <v>220</v>
      </c>
      <c r="E104">
        <f t="shared" si="22"/>
        <v>2</v>
      </c>
      <c r="F104">
        <f t="shared" si="23"/>
        <v>180</v>
      </c>
      <c r="G104">
        <f t="shared" si="24"/>
        <v>400</v>
      </c>
      <c r="H104">
        <f t="shared" si="25"/>
        <v>20</v>
      </c>
      <c r="I104">
        <f t="shared" si="29"/>
        <v>160</v>
      </c>
      <c r="J104">
        <f t="shared" si="37"/>
        <v>0</v>
      </c>
      <c r="L104">
        <f t="shared" si="26"/>
        <v>4000</v>
      </c>
      <c r="M104">
        <f t="shared" si="27"/>
        <v>160</v>
      </c>
      <c r="N104" s="9" t="e">
        <f>IF(OR($B104&gt;Assump!$E$9,$B104&lt;HVDC_Received_Max),NA(),NI_demand*2)</f>
        <v>#N/A</v>
      </c>
      <c r="O104">
        <f t="shared" si="28"/>
        <v>4160</v>
      </c>
      <c r="R104">
        <f t="shared" si="30"/>
        <v>500</v>
      </c>
      <c r="S104" s="3">
        <f t="shared" si="31"/>
        <v>400</v>
      </c>
      <c r="T104">
        <f t="shared" si="32"/>
        <v>220</v>
      </c>
      <c r="U104">
        <f t="shared" si="33"/>
        <v>180</v>
      </c>
      <c r="V104">
        <f t="shared" si="34"/>
        <v>2</v>
      </c>
      <c r="W104">
        <f t="shared" si="35"/>
        <v>180</v>
      </c>
      <c r="X104">
        <f t="shared" si="36"/>
        <v>400</v>
      </c>
    </row>
    <row r="105" spans="1:24" ht="14.45" x14ac:dyDescent="0.35">
      <c r="A105" s="7">
        <f>B105/(1-Assump!$D$4)</f>
        <v>535.60606060606062</v>
      </c>
      <c r="B105" s="1">
        <v>505</v>
      </c>
      <c r="C105" s="9">
        <f t="shared" si="20"/>
        <v>220</v>
      </c>
      <c r="D105">
        <f t="shared" si="21"/>
        <v>220</v>
      </c>
      <c r="E105">
        <f t="shared" si="22"/>
        <v>7</v>
      </c>
      <c r="F105">
        <f t="shared" si="23"/>
        <v>180</v>
      </c>
      <c r="G105">
        <f t="shared" si="24"/>
        <v>400</v>
      </c>
      <c r="H105">
        <f t="shared" si="25"/>
        <v>20</v>
      </c>
      <c r="I105">
        <f t="shared" si="29"/>
        <v>160</v>
      </c>
      <c r="J105">
        <f t="shared" si="37"/>
        <v>0</v>
      </c>
      <c r="L105">
        <f t="shared" si="26"/>
        <v>3995</v>
      </c>
      <c r="M105">
        <f t="shared" si="27"/>
        <v>160</v>
      </c>
      <c r="N105" s="9" t="e">
        <f>IF(OR($B105&gt;Assump!$E$9,$B105&lt;HVDC_Received_Max),NA(),NI_demand*2)</f>
        <v>#N/A</v>
      </c>
      <c r="O105">
        <f t="shared" si="28"/>
        <v>4155</v>
      </c>
      <c r="R105">
        <f t="shared" si="30"/>
        <v>505</v>
      </c>
      <c r="S105" s="3">
        <f t="shared" si="31"/>
        <v>400</v>
      </c>
      <c r="T105">
        <f t="shared" si="32"/>
        <v>220</v>
      </c>
      <c r="U105">
        <f t="shared" si="33"/>
        <v>180</v>
      </c>
      <c r="V105">
        <f t="shared" si="34"/>
        <v>7</v>
      </c>
      <c r="W105">
        <f t="shared" si="35"/>
        <v>180</v>
      </c>
      <c r="X105">
        <f t="shared" si="36"/>
        <v>400</v>
      </c>
    </row>
    <row r="106" spans="1:24" ht="14.45" x14ac:dyDescent="0.35">
      <c r="A106" s="7">
        <f>B106/(1-Assump!$D$4)</f>
        <v>540.90909090909088</v>
      </c>
      <c r="B106" s="1">
        <v>510</v>
      </c>
      <c r="C106" s="9">
        <f t="shared" si="20"/>
        <v>220</v>
      </c>
      <c r="D106">
        <f t="shared" si="21"/>
        <v>220</v>
      </c>
      <c r="E106">
        <f t="shared" si="22"/>
        <v>12</v>
      </c>
      <c r="F106">
        <f t="shared" si="23"/>
        <v>180</v>
      </c>
      <c r="G106">
        <f t="shared" si="24"/>
        <v>400</v>
      </c>
      <c r="H106">
        <f t="shared" si="25"/>
        <v>20</v>
      </c>
      <c r="I106">
        <f t="shared" si="29"/>
        <v>160</v>
      </c>
      <c r="J106">
        <f t="shared" si="37"/>
        <v>0</v>
      </c>
      <c r="L106">
        <f t="shared" si="26"/>
        <v>3990</v>
      </c>
      <c r="M106">
        <f t="shared" si="27"/>
        <v>160</v>
      </c>
      <c r="N106" s="9" t="e">
        <f>IF(OR($B106&gt;Assump!$E$9,$B106&lt;HVDC_Received_Max),NA(),NI_demand*2)</f>
        <v>#N/A</v>
      </c>
      <c r="O106">
        <f t="shared" si="28"/>
        <v>4150</v>
      </c>
      <c r="R106">
        <f t="shared" si="30"/>
        <v>510</v>
      </c>
      <c r="S106" s="3">
        <f t="shared" si="31"/>
        <v>400</v>
      </c>
      <c r="T106">
        <f t="shared" si="32"/>
        <v>220</v>
      </c>
      <c r="U106">
        <f t="shared" si="33"/>
        <v>180</v>
      </c>
      <c r="V106">
        <f t="shared" si="34"/>
        <v>12</v>
      </c>
      <c r="W106">
        <f t="shared" si="35"/>
        <v>180</v>
      </c>
      <c r="X106">
        <f t="shared" si="36"/>
        <v>400</v>
      </c>
    </row>
    <row r="107" spans="1:24" ht="14.45" x14ac:dyDescent="0.35">
      <c r="A107" s="7">
        <f>B107/(1-Assump!$D$4)</f>
        <v>546.21212121212125</v>
      </c>
      <c r="B107" s="1">
        <v>515</v>
      </c>
      <c r="C107" s="9">
        <f t="shared" si="20"/>
        <v>220</v>
      </c>
      <c r="D107">
        <f t="shared" si="21"/>
        <v>220</v>
      </c>
      <c r="E107">
        <f t="shared" si="22"/>
        <v>17</v>
      </c>
      <c r="F107">
        <f t="shared" si="23"/>
        <v>180</v>
      </c>
      <c r="G107">
        <f t="shared" si="24"/>
        <v>400</v>
      </c>
      <c r="H107">
        <f t="shared" si="25"/>
        <v>20</v>
      </c>
      <c r="I107">
        <f t="shared" si="29"/>
        <v>160</v>
      </c>
      <c r="J107">
        <f t="shared" si="37"/>
        <v>0</v>
      </c>
      <c r="L107">
        <f t="shared" si="26"/>
        <v>3985</v>
      </c>
      <c r="M107">
        <f t="shared" si="27"/>
        <v>160</v>
      </c>
      <c r="N107" s="9" t="e">
        <f>IF(OR($B107&gt;Assump!$E$9,$B107&lt;HVDC_Received_Max),NA(),NI_demand*2)</f>
        <v>#N/A</v>
      </c>
      <c r="O107">
        <f t="shared" si="28"/>
        <v>4145</v>
      </c>
      <c r="R107">
        <f t="shared" si="30"/>
        <v>515</v>
      </c>
      <c r="S107" s="3">
        <f t="shared" si="31"/>
        <v>400</v>
      </c>
      <c r="T107">
        <f t="shared" si="32"/>
        <v>220</v>
      </c>
      <c r="U107">
        <f t="shared" si="33"/>
        <v>180</v>
      </c>
      <c r="V107">
        <f t="shared" si="34"/>
        <v>17</v>
      </c>
      <c r="W107">
        <f t="shared" si="35"/>
        <v>180</v>
      </c>
      <c r="X107">
        <f t="shared" si="36"/>
        <v>400</v>
      </c>
    </row>
    <row r="108" spans="1:24" ht="14.45" x14ac:dyDescent="0.35">
      <c r="A108" s="7">
        <f>B108/(1-Assump!$D$4)</f>
        <v>551.5151515151515</v>
      </c>
      <c r="B108" s="1">
        <v>520</v>
      </c>
      <c r="C108" s="9">
        <f t="shared" si="20"/>
        <v>220</v>
      </c>
      <c r="D108">
        <f t="shared" si="21"/>
        <v>220</v>
      </c>
      <c r="E108">
        <f t="shared" si="22"/>
        <v>22</v>
      </c>
      <c r="F108">
        <f t="shared" si="23"/>
        <v>180</v>
      </c>
      <c r="G108">
        <f t="shared" si="24"/>
        <v>400</v>
      </c>
      <c r="H108">
        <f t="shared" si="25"/>
        <v>20</v>
      </c>
      <c r="I108">
        <f t="shared" si="29"/>
        <v>160</v>
      </c>
      <c r="J108">
        <f t="shared" si="37"/>
        <v>0</v>
      </c>
      <c r="L108">
        <f t="shared" si="26"/>
        <v>3980</v>
      </c>
      <c r="M108">
        <f t="shared" si="27"/>
        <v>160</v>
      </c>
      <c r="N108" s="9" t="e">
        <f>IF(OR($B108&gt;Assump!$E$9,$B108&lt;HVDC_Received_Max),NA(),NI_demand*2)</f>
        <v>#N/A</v>
      </c>
      <c r="O108">
        <f t="shared" si="28"/>
        <v>4140</v>
      </c>
      <c r="R108">
        <f t="shared" si="30"/>
        <v>520</v>
      </c>
      <c r="S108" s="3">
        <f t="shared" si="31"/>
        <v>400</v>
      </c>
      <c r="T108">
        <f t="shared" si="32"/>
        <v>220</v>
      </c>
      <c r="U108">
        <f t="shared" si="33"/>
        <v>180</v>
      </c>
      <c r="V108">
        <f t="shared" si="34"/>
        <v>22</v>
      </c>
      <c r="W108">
        <f t="shared" si="35"/>
        <v>180</v>
      </c>
      <c r="X108">
        <f t="shared" si="36"/>
        <v>400</v>
      </c>
    </row>
    <row r="109" spans="1:24" ht="14.45" x14ac:dyDescent="0.35">
      <c r="A109" s="7">
        <f>B109/(1-Assump!$D$4)</f>
        <v>556.81818181818187</v>
      </c>
      <c r="B109" s="1">
        <v>525</v>
      </c>
      <c r="C109" s="9">
        <f t="shared" si="20"/>
        <v>220</v>
      </c>
      <c r="D109">
        <f t="shared" si="21"/>
        <v>220</v>
      </c>
      <c r="E109">
        <f t="shared" si="22"/>
        <v>27</v>
      </c>
      <c r="F109">
        <f t="shared" si="23"/>
        <v>180</v>
      </c>
      <c r="G109">
        <f t="shared" si="24"/>
        <v>400</v>
      </c>
      <c r="H109">
        <f t="shared" si="25"/>
        <v>20</v>
      </c>
      <c r="I109">
        <f t="shared" si="29"/>
        <v>160</v>
      </c>
      <c r="J109">
        <f t="shared" si="37"/>
        <v>0</v>
      </c>
      <c r="L109">
        <f t="shared" si="26"/>
        <v>3975</v>
      </c>
      <c r="M109">
        <f t="shared" si="27"/>
        <v>160</v>
      </c>
      <c r="N109" s="9" t="e">
        <f>IF(OR($B109&gt;Assump!$E$9,$B109&lt;HVDC_Received_Max),NA(),NI_demand*2)</f>
        <v>#N/A</v>
      </c>
      <c r="O109">
        <f t="shared" si="28"/>
        <v>4135</v>
      </c>
      <c r="R109">
        <f t="shared" si="30"/>
        <v>525</v>
      </c>
      <c r="S109" s="3">
        <f t="shared" si="31"/>
        <v>400</v>
      </c>
      <c r="T109">
        <f t="shared" si="32"/>
        <v>220</v>
      </c>
      <c r="U109">
        <f t="shared" si="33"/>
        <v>180</v>
      </c>
      <c r="V109">
        <f t="shared" si="34"/>
        <v>27</v>
      </c>
      <c r="W109">
        <f t="shared" si="35"/>
        <v>180</v>
      </c>
      <c r="X109">
        <f t="shared" si="36"/>
        <v>400</v>
      </c>
    </row>
    <row r="110" spans="1:24" ht="14.45" x14ac:dyDescent="0.35">
      <c r="A110" s="7">
        <f>B110/(1-Assump!$D$4)</f>
        <v>562.12121212121212</v>
      </c>
      <c r="B110" s="1">
        <v>530</v>
      </c>
      <c r="C110" s="9">
        <f t="shared" si="20"/>
        <v>220</v>
      </c>
      <c r="D110">
        <f t="shared" si="21"/>
        <v>220</v>
      </c>
      <c r="E110">
        <f t="shared" si="22"/>
        <v>32</v>
      </c>
      <c r="F110">
        <f t="shared" si="23"/>
        <v>180</v>
      </c>
      <c r="G110">
        <f t="shared" si="24"/>
        <v>400</v>
      </c>
      <c r="H110">
        <f t="shared" si="25"/>
        <v>20</v>
      </c>
      <c r="I110">
        <f t="shared" si="29"/>
        <v>160</v>
      </c>
      <c r="J110">
        <f t="shared" si="37"/>
        <v>0</v>
      </c>
      <c r="L110">
        <f t="shared" si="26"/>
        <v>3970</v>
      </c>
      <c r="M110">
        <f t="shared" si="27"/>
        <v>160</v>
      </c>
      <c r="N110" s="9" t="e">
        <f>IF(OR($B110&gt;Assump!$E$9,$B110&lt;HVDC_Received_Max),NA(),NI_demand*2)</f>
        <v>#N/A</v>
      </c>
      <c r="O110">
        <f t="shared" si="28"/>
        <v>4130</v>
      </c>
      <c r="R110">
        <f t="shared" si="30"/>
        <v>530</v>
      </c>
      <c r="S110" s="3">
        <f t="shared" si="31"/>
        <v>400</v>
      </c>
      <c r="T110">
        <f t="shared" si="32"/>
        <v>220</v>
      </c>
      <c r="U110">
        <f t="shared" si="33"/>
        <v>180</v>
      </c>
      <c r="V110">
        <f t="shared" si="34"/>
        <v>32</v>
      </c>
      <c r="W110">
        <f t="shared" si="35"/>
        <v>180</v>
      </c>
      <c r="X110">
        <f t="shared" si="36"/>
        <v>400</v>
      </c>
    </row>
    <row r="111" spans="1:24" ht="14.45" x14ac:dyDescent="0.35">
      <c r="A111" s="7">
        <f>B111/(1-Assump!$D$4)</f>
        <v>567.42424242424238</v>
      </c>
      <c r="B111" s="1">
        <v>535</v>
      </c>
      <c r="C111" s="9">
        <f t="shared" si="20"/>
        <v>220</v>
      </c>
      <c r="D111">
        <f t="shared" si="21"/>
        <v>220</v>
      </c>
      <c r="E111">
        <f t="shared" si="22"/>
        <v>37</v>
      </c>
      <c r="F111">
        <f t="shared" si="23"/>
        <v>180</v>
      </c>
      <c r="G111">
        <f t="shared" si="24"/>
        <v>400</v>
      </c>
      <c r="H111">
        <f t="shared" si="25"/>
        <v>20</v>
      </c>
      <c r="I111">
        <f t="shared" si="29"/>
        <v>160</v>
      </c>
      <c r="J111">
        <f t="shared" si="37"/>
        <v>0</v>
      </c>
      <c r="L111">
        <f t="shared" si="26"/>
        <v>3965</v>
      </c>
      <c r="M111">
        <f t="shared" si="27"/>
        <v>160</v>
      </c>
      <c r="N111" s="9" t="e">
        <f>IF(OR($B111&gt;Assump!$E$9,$B111&lt;HVDC_Received_Max),NA(),NI_demand*2)</f>
        <v>#N/A</v>
      </c>
      <c r="O111">
        <f t="shared" si="28"/>
        <v>4125</v>
      </c>
      <c r="R111">
        <f t="shared" si="30"/>
        <v>535</v>
      </c>
      <c r="S111" s="3">
        <f t="shared" si="31"/>
        <v>400</v>
      </c>
      <c r="T111">
        <f t="shared" si="32"/>
        <v>220</v>
      </c>
      <c r="U111">
        <f t="shared" si="33"/>
        <v>180</v>
      </c>
      <c r="V111">
        <f t="shared" si="34"/>
        <v>37</v>
      </c>
      <c r="W111">
        <f t="shared" si="35"/>
        <v>180</v>
      </c>
      <c r="X111">
        <f t="shared" si="36"/>
        <v>400</v>
      </c>
    </row>
    <row r="112" spans="1:24" ht="14.45" x14ac:dyDescent="0.35">
      <c r="A112" s="7">
        <f>B112/(1-Assump!$D$4)</f>
        <v>572.72727272727275</v>
      </c>
      <c r="B112" s="1">
        <v>540</v>
      </c>
      <c r="C112" s="9">
        <f t="shared" si="20"/>
        <v>220</v>
      </c>
      <c r="D112">
        <f t="shared" si="21"/>
        <v>220</v>
      </c>
      <c r="E112">
        <f t="shared" si="22"/>
        <v>42</v>
      </c>
      <c r="F112">
        <f t="shared" si="23"/>
        <v>180</v>
      </c>
      <c r="G112">
        <f t="shared" si="24"/>
        <v>400</v>
      </c>
      <c r="H112">
        <f t="shared" si="25"/>
        <v>20</v>
      </c>
      <c r="I112">
        <f t="shared" si="29"/>
        <v>160</v>
      </c>
      <c r="J112">
        <f t="shared" si="37"/>
        <v>0</v>
      </c>
      <c r="L112">
        <f t="shared" si="26"/>
        <v>3960</v>
      </c>
      <c r="M112">
        <f t="shared" si="27"/>
        <v>160</v>
      </c>
      <c r="N112" s="9" t="e">
        <f>IF(OR($B112&gt;Assump!$E$9,$B112&lt;HVDC_Received_Max),NA(),NI_demand*2)</f>
        <v>#N/A</v>
      </c>
      <c r="O112">
        <f t="shared" si="28"/>
        <v>4120</v>
      </c>
      <c r="R112">
        <f t="shared" si="30"/>
        <v>540</v>
      </c>
      <c r="S112" s="3">
        <f t="shared" si="31"/>
        <v>400</v>
      </c>
      <c r="T112">
        <f t="shared" si="32"/>
        <v>220</v>
      </c>
      <c r="U112">
        <f t="shared" si="33"/>
        <v>180</v>
      </c>
      <c r="V112">
        <f t="shared" si="34"/>
        <v>42</v>
      </c>
      <c r="W112">
        <f t="shared" si="35"/>
        <v>180</v>
      </c>
      <c r="X112">
        <f t="shared" si="36"/>
        <v>400</v>
      </c>
    </row>
    <row r="113" spans="1:24" ht="14.45" x14ac:dyDescent="0.35">
      <c r="A113" s="7">
        <f>B113/(1-Assump!$D$4)</f>
        <v>578.030303030303</v>
      </c>
      <c r="B113" s="1">
        <v>545</v>
      </c>
      <c r="C113" s="9">
        <f t="shared" si="20"/>
        <v>220</v>
      </c>
      <c r="D113">
        <f t="shared" si="21"/>
        <v>220</v>
      </c>
      <c r="E113">
        <f t="shared" si="22"/>
        <v>47</v>
      </c>
      <c r="F113">
        <f t="shared" si="23"/>
        <v>180</v>
      </c>
      <c r="G113">
        <f t="shared" si="24"/>
        <v>400</v>
      </c>
      <c r="H113">
        <f t="shared" si="25"/>
        <v>20</v>
      </c>
      <c r="I113">
        <f t="shared" si="29"/>
        <v>160</v>
      </c>
      <c r="J113">
        <f t="shared" si="37"/>
        <v>0</v>
      </c>
      <c r="L113">
        <f t="shared" si="26"/>
        <v>3955</v>
      </c>
      <c r="M113">
        <f t="shared" si="27"/>
        <v>160</v>
      </c>
      <c r="N113" s="9" t="e">
        <f>IF(OR($B113&gt;Assump!$E$9,$B113&lt;HVDC_Received_Max),NA(),NI_demand*2)</f>
        <v>#N/A</v>
      </c>
      <c r="O113">
        <f t="shared" si="28"/>
        <v>4115</v>
      </c>
      <c r="R113">
        <f t="shared" si="30"/>
        <v>545</v>
      </c>
      <c r="S113" s="3">
        <f t="shared" si="31"/>
        <v>400</v>
      </c>
      <c r="T113">
        <f t="shared" si="32"/>
        <v>220</v>
      </c>
      <c r="U113">
        <f t="shared" si="33"/>
        <v>180</v>
      </c>
      <c r="V113">
        <f t="shared" si="34"/>
        <v>47</v>
      </c>
      <c r="W113">
        <f t="shared" si="35"/>
        <v>180</v>
      </c>
      <c r="X113">
        <f t="shared" si="36"/>
        <v>400</v>
      </c>
    </row>
    <row r="114" spans="1:24" ht="14.45" x14ac:dyDescent="0.35">
      <c r="A114" s="7">
        <f>B114/(1-Assump!$D$4)</f>
        <v>583.33333333333337</v>
      </c>
      <c r="B114" s="1">
        <v>550</v>
      </c>
      <c r="C114" s="9">
        <f t="shared" si="20"/>
        <v>220</v>
      </c>
      <c r="D114">
        <f t="shared" si="21"/>
        <v>220</v>
      </c>
      <c r="E114">
        <f t="shared" si="22"/>
        <v>52</v>
      </c>
      <c r="F114">
        <f t="shared" si="23"/>
        <v>180</v>
      </c>
      <c r="G114">
        <f t="shared" si="24"/>
        <v>400</v>
      </c>
      <c r="H114">
        <f t="shared" si="25"/>
        <v>20</v>
      </c>
      <c r="I114">
        <f t="shared" si="29"/>
        <v>160</v>
      </c>
      <c r="J114">
        <f t="shared" si="37"/>
        <v>0</v>
      </c>
      <c r="L114">
        <f t="shared" si="26"/>
        <v>3950</v>
      </c>
      <c r="M114">
        <f t="shared" si="27"/>
        <v>160</v>
      </c>
      <c r="N114" s="9" t="e">
        <f>IF(OR($B114&gt;Assump!$E$9,$B114&lt;HVDC_Received_Max),NA(),NI_demand*2)</f>
        <v>#N/A</v>
      </c>
      <c r="O114">
        <f t="shared" si="28"/>
        <v>4110</v>
      </c>
      <c r="R114">
        <f t="shared" si="30"/>
        <v>550</v>
      </c>
      <c r="S114" s="3">
        <f t="shared" si="31"/>
        <v>400</v>
      </c>
      <c r="T114">
        <f t="shared" si="32"/>
        <v>220</v>
      </c>
      <c r="U114">
        <f t="shared" si="33"/>
        <v>180</v>
      </c>
      <c r="V114">
        <f t="shared" si="34"/>
        <v>52</v>
      </c>
      <c r="W114">
        <f t="shared" si="35"/>
        <v>180</v>
      </c>
      <c r="X114">
        <f t="shared" si="36"/>
        <v>400</v>
      </c>
    </row>
    <row r="115" spans="1:24" ht="14.45" x14ac:dyDescent="0.35">
      <c r="A115" s="7">
        <f>B115/(1-Assump!$D$4)</f>
        <v>588.63636363636363</v>
      </c>
      <c r="B115" s="1">
        <v>555</v>
      </c>
      <c r="C115" s="9">
        <f t="shared" si="20"/>
        <v>220</v>
      </c>
      <c r="D115">
        <f t="shared" si="21"/>
        <v>220</v>
      </c>
      <c r="E115">
        <f t="shared" si="22"/>
        <v>57</v>
      </c>
      <c r="F115">
        <f t="shared" si="23"/>
        <v>180</v>
      </c>
      <c r="G115">
        <f t="shared" si="24"/>
        <v>400</v>
      </c>
      <c r="H115">
        <f t="shared" si="25"/>
        <v>20</v>
      </c>
      <c r="I115">
        <f t="shared" si="29"/>
        <v>160</v>
      </c>
      <c r="J115">
        <f t="shared" si="37"/>
        <v>0</v>
      </c>
      <c r="L115">
        <f t="shared" si="26"/>
        <v>3945</v>
      </c>
      <c r="M115">
        <f t="shared" si="27"/>
        <v>160</v>
      </c>
      <c r="N115" s="9" t="e">
        <f>IF(OR($B115&gt;Assump!$E$9,$B115&lt;HVDC_Received_Max),NA(),NI_demand*2)</f>
        <v>#N/A</v>
      </c>
      <c r="O115">
        <f t="shared" si="28"/>
        <v>4105</v>
      </c>
      <c r="R115">
        <f t="shared" si="30"/>
        <v>555</v>
      </c>
      <c r="S115" s="3">
        <f t="shared" si="31"/>
        <v>400</v>
      </c>
      <c r="T115">
        <f t="shared" si="32"/>
        <v>220</v>
      </c>
      <c r="U115">
        <f t="shared" si="33"/>
        <v>180</v>
      </c>
      <c r="V115">
        <f t="shared" si="34"/>
        <v>57</v>
      </c>
      <c r="W115">
        <f t="shared" si="35"/>
        <v>180</v>
      </c>
      <c r="X115">
        <f t="shared" si="36"/>
        <v>400</v>
      </c>
    </row>
    <row r="116" spans="1:24" ht="14.45" x14ac:dyDescent="0.35">
      <c r="A116" s="7">
        <f>B116/(1-Assump!$D$4)</f>
        <v>593.93939393939399</v>
      </c>
      <c r="B116" s="1">
        <v>560</v>
      </c>
      <c r="C116" s="9">
        <f t="shared" si="20"/>
        <v>220</v>
      </c>
      <c r="D116">
        <f t="shared" si="21"/>
        <v>220</v>
      </c>
      <c r="E116">
        <f t="shared" si="22"/>
        <v>62</v>
      </c>
      <c r="F116">
        <f t="shared" si="23"/>
        <v>180</v>
      </c>
      <c r="G116">
        <f t="shared" si="24"/>
        <v>400</v>
      </c>
      <c r="H116">
        <f t="shared" si="25"/>
        <v>20</v>
      </c>
      <c r="I116">
        <f t="shared" si="29"/>
        <v>160</v>
      </c>
      <c r="J116">
        <f t="shared" si="37"/>
        <v>0</v>
      </c>
      <c r="L116">
        <f t="shared" si="26"/>
        <v>3940</v>
      </c>
      <c r="M116">
        <f t="shared" si="27"/>
        <v>160</v>
      </c>
      <c r="N116" s="9" t="e">
        <f>IF(OR($B116&gt;Assump!$E$9,$B116&lt;HVDC_Received_Max),NA(),NI_demand*2)</f>
        <v>#N/A</v>
      </c>
      <c r="O116">
        <f t="shared" si="28"/>
        <v>4100</v>
      </c>
      <c r="R116">
        <f t="shared" si="30"/>
        <v>560</v>
      </c>
      <c r="S116" s="3">
        <f t="shared" si="31"/>
        <v>400</v>
      </c>
      <c r="T116">
        <f t="shared" si="32"/>
        <v>220</v>
      </c>
      <c r="U116">
        <f t="shared" si="33"/>
        <v>180</v>
      </c>
      <c r="V116">
        <f t="shared" si="34"/>
        <v>62</v>
      </c>
      <c r="W116">
        <f t="shared" si="35"/>
        <v>180</v>
      </c>
      <c r="X116">
        <f t="shared" si="36"/>
        <v>400</v>
      </c>
    </row>
    <row r="117" spans="1:24" ht="14.45" x14ac:dyDescent="0.35">
      <c r="A117" s="7">
        <f>B117/(1-Assump!$D$4)</f>
        <v>599.24242424242425</v>
      </c>
      <c r="B117" s="1">
        <v>565</v>
      </c>
      <c r="C117" s="9">
        <f t="shared" si="20"/>
        <v>220</v>
      </c>
      <c r="D117">
        <f t="shared" si="21"/>
        <v>220</v>
      </c>
      <c r="E117">
        <f t="shared" si="22"/>
        <v>67</v>
      </c>
      <c r="F117">
        <f t="shared" si="23"/>
        <v>180</v>
      </c>
      <c r="G117">
        <f t="shared" si="24"/>
        <v>400</v>
      </c>
      <c r="H117">
        <f t="shared" si="25"/>
        <v>20</v>
      </c>
      <c r="I117">
        <f t="shared" si="29"/>
        <v>160</v>
      </c>
      <c r="J117">
        <f t="shared" si="37"/>
        <v>0</v>
      </c>
      <c r="L117">
        <f t="shared" si="26"/>
        <v>3935</v>
      </c>
      <c r="M117">
        <f t="shared" si="27"/>
        <v>160</v>
      </c>
      <c r="N117" s="9" t="e">
        <f>IF(OR($B117&gt;Assump!$E$9,$B117&lt;HVDC_Received_Max),NA(),NI_demand*2)</f>
        <v>#N/A</v>
      </c>
      <c r="O117">
        <f t="shared" si="28"/>
        <v>4095</v>
      </c>
      <c r="R117">
        <f t="shared" si="30"/>
        <v>565</v>
      </c>
      <c r="S117" s="3">
        <f t="shared" si="31"/>
        <v>400</v>
      </c>
      <c r="T117">
        <f t="shared" si="32"/>
        <v>220</v>
      </c>
      <c r="U117">
        <f t="shared" si="33"/>
        <v>180</v>
      </c>
      <c r="V117">
        <f t="shared" si="34"/>
        <v>67</v>
      </c>
      <c r="W117">
        <f t="shared" si="35"/>
        <v>180</v>
      </c>
      <c r="X117">
        <f t="shared" si="36"/>
        <v>400</v>
      </c>
    </row>
    <row r="118" spans="1:24" ht="14.45" x14ac:dyDescent="0.35">
      <c r="A118" s="7">
        <f>B118/(1-Assump!$D$4)</f>
        <v>604.5454545454545</v>
      </c>
      <c r="B118" s="1">
        <v>570</v>
      </c>
      <c r="C118" s="9">
        <f t="shared" si="20"/>
        <v>220</v>
      </c>
      <c r="D118">
        <f t="shared" si="21"/>
        <v>220</v>
      </c>
      <c r="E118">
        <f t="shared" si="22"/>
        <v>72</v>
      </c>
      <c r="F118">
        <f t="shared" si="23"/>
        <v>180</v>
      </c>
      <c r="G118">
        <f t="shared" si="24"/>
        <v>400</v>
      </c>
      <c r="H118">
        <f t="shared" si="25"/>
        <v>20</v>
      </c>
      <c r="I118">
        <f t="shared" si="29"/>
        <v>160</v>
      </c>
      <c r="J118">
        <f t="shared" si="37"/>
        <v>0</v>
      </c>
      <c r="L118">
        <f t="shared" si="26"/>
        <v>3930</v>
      </c>
      <c r="M118">
        <f t="shared" si="27"/>
        <v>160</v>
      </c>
      <c r="N118" s="9" t="e">
        <f>IF(OR($B118&gt;Assump!$E$9,$B118&lt;HVDC_Received_Max),NA(),NI_demand*2)</f>
        <v>#N/A</v>
      </c>
      <c r="O118">
        <f t="shared" si="28"/>
        <v>4090</v>
      </c>
      <c r="R118">
        <f t="shared" si="30"/>
        <v>570</v>
      </c>
      <c r="S118" s="3">
        <f t="shared" si="31"/>
        <v>400</v>
      </c>
      <c r="T118">
        <f t="shared" si="32"/>
        <v>220</v>
      </c>
      <c r="U118">
        <f t="shared" si="33"/>
        <v>180</v>
      </c>
      <c r="V118">
        <f t="shared" si="34"/>
        <v>72</v>
      </c>
      <c r="W118">
        <f t="shared" si="35"/>
        <v>180</v>
      </c>
      <c r="X118">
        <f t="shared" si="36"/>
        <v>400</v>
      </c>
    </row>
    <row r="119" spans="1:24" ht="14.45" x14ac:dyDescent="0.35">
      <c r="A119" s="7">
        <f>B119/(1-Assump!$D$4)</f>
        <v>609.84848484848487</v>
      </c>
      <c r="B119" s="1">
        <v>575</v>
      </c>
      <c r="C119" s="9">
        <f t="shared" si="20"/>
        <v>220</v>
      </c>
      <c r="D119">
        <f t="shared" si="21"/>
        <v>220</v>
      </c>
      <c r="E119">
        <f t="shared" si="22"/>
        <v>77</v>
      </c>
      <c r="F119">
        <f t="shared" si="23"/>
        <v>180</v>
      </c>
      <c r="G119">
        <f t="shared" si="24"/>
        <v>400</v>
      </c>
      <c r="H119">
        <f t="shared" si="25"/>
        <v>20</v>
      </c>
      <c r="I119">
        <f t="shared" si="29"/>
        <v>160</v>
      </c>
      <c r="J119">
        <f t="shared" si="37"/>
        <v>0</v>
      </c>
      <c r="L119">
        <f t="shared" si="26"/>
        <v>3925</v>
      </c>
      <c r="M119">
        <f t="shared" si="27"/>
        <v>160</v>
      </c>
      <c r="N119" s="9" t="e">
        <f>IF(OR($B119&gt;Assump!$E$9,$B119&lt;HVDC_Received_Max),NA(),NI_demand*2)</f>
        <v>#N/A</v>
      </c>
      <c r="O119">
        <f t="shared" si="28"/>
        <v>4085</v>
      </c>
      <c r="R119">
        <f t="shared" si="30"/>
        <v>575</v>
      </c>
      <c r="S119" s="3">
        <f t="shared" si="31"/>
        <v>400</v>
      </c>
      <c r="T119">
        <f t="shared" si="32"/>
        <v>220</v>
      </c>
      <c r="U119">
        <f t="shared" si="33"/>
        <v>180</v>
      </c>
      <c r="V119">
        <f t="shared" si="34"/>
        <v>77</v>
      </c>
      <c r="W119">
        <f t="shared" si="35"/>
        <v>180</v>
      </c>
      <c r="X119">
        <f t="shared" si="36"/>
        <v>400</v>
      </c>
    </row>
    <row r="120" spans="1:24" ht="14.45" x14ac:dyDescent="0.35">
      <c r="A120" s="7">
        <f>B120/(1-Assump!$D$4)</f>
        <v>615.15151515151513</v>
      </c>
      <c r="B120" s="1">
        <v>580</v>
      </c>
      <c r="C120" s="9">
        <f t="shared" si="20"/>
        <v>220</v>
      </c>
      <c r="D120">
        <f t="shared" si="21"/>
        <v>220</v>
      </c>
      <c r="E120">
        <f t="shared" si="22"/>
        <v>82</v>
      </c>
      <c r="F120">
        <f t="shared" si="23"/>
        <v>180</v>
      </c>
      <c r="G120">
        <f t="shared" si="24"/>
        <v>400</v>
      </c>
      <c r="H120">
        <f t="shared" si="25"/>
        <v>20</v>
      </c>
      <c r="I120">
        <f t="shared" si="29"/>
        <v>160</v>
      </c>
      <c r="J120">
        <f t="shared" si="37"/>
        <v>0</v>
      </c>
      <c r="L120">
        <f t="shared" si="26"/>
        <v>3920</v>
      </c>
      <c r="M120">
        <f t="shared" si="27"/>
        <v>160</v>
      </c>
      <c r="N120" s="9" t="e">
        <f>IF(OR($B120&gt;Assump!$E$9,$B120&lt;HVDC_Received_Max),NA(),NI_demand*2)</f>
        <v>#N/A</v>
      </c>
      <c r="O120">
        <f t="shared" si="28"/>
        <v>4080</v>
      </c>
      <c r="R120">
        <f t="shared" si="30"/>
        <v>580</v>
      </c>
      <c r="S120" s="3">
        <f t="shared" si="31"/>
        <v>400</v>
      </c>
      <c r="T120">
        <f t="shared" si="32"/>
        <v>220</v>
      </c>
      <c r="U120">
        <f t="shared" si="33"/>
        <v>180</v>
      </c>
      <c r="V120">
        <f t="shared" si="34"/>
        <v>82</v>
      </c>
      <c r="W120">
        <f t="shared" si="35"/>
        <v>180</v>
      </c>
      <c r="X120">
        <f t="shared" si="36"/>
        <v>400</v>
      </c>
    </row>
    <row r="121" spans="1:24" ht="14.45" x14ac:dyDescent="0.35">
      <c r="A121" s="7">
        <f>B121/(1-Assump!$D$4)</f>
        <v>620.4545454545455</v>
      </c>
      <c r="B121" s="1">
        <v>585</v>
      </c>
      <c r="C121" s="9">
        <f t="shared" si="20"/>
        <v>220</v>
      </c>
      <c r="D121">
        <f t="shared" si="21"/>
        <v>220</v>
      </c>
      <c r="E121">
        <f t="shared" si="22"/>
        <v>87</v>
      </c>
      <c r="F121">
        <f t="shared" si="23"/>
        <v>180</v>
      </c>
      <c r="G121">
        <f t="shared" si="24"/>
        <v>400</v>
      </c>
      <c r="H121">
        <f t="shared" si="25"/>
        <v>20</v>
      </c>
      <c r="I121">
        <f t="shared" si="29"/>
        <v>160</v>
      </c>
      <c r="J121">
        <f t="shared" si="37"/>
        <v>0</v>
      </c>
      <c r="L121">
        <f t="shared" si="26"/>
        <v>3915</v>
      </c>
      <c r="M121">
        <f t="shared" si="27"/>
        <v>160</v>
      </c>
      <c r="N121" s="9" t="e">
        <f>IF(OR($B121&gt;Assump!$E$9,$B121&lt;HVDC_Received_Max),NA(),NI_demand*2)</f>
        <v>#N/A</v>
      </c>
      <c r="O121">
        <f t="shared" si="28"/>
        <v>4075</v>
      </c>
      <c r="R121">
        <f t="shared" si="30"/>
        <v>585</v>
      </c>
      <c r="S121" s="3">
        <f t="shared" si="31"/>
        <v>400</v>
      </c>
      <c r="T121">
        <f t="shared" si="32"/>
        <v>220</v>
      </c>
      <c r="U121">
        <f t="shared" si="33"/>
        <v>180</v>
      </c>
      <c r="V121">
        <f t="shared" si="34"/>
        <v>87</v>
      </c>
      <c r="W121">
        <f t="shared" si="35"/>
        <v>180</v>
      </c>
      <c r="X121">
        <f t="shared" si="36"/>
        <v>400</v>
      </c>
    </row>
    <row r="122" spans="1:24" ht="14.45" x14ac:dyDescent="0.35">
      <c r="A122" s="7">
        <f>B122/(1-Assump!$D$4)</f>
        <v>625.75757575757575</v>
      </c>
      <c r="B122" s="1">
        <v>590</v>
      </c>
      <c r="C122" s="9">
        <f t="shared" si="20"/>
        <v>220</v>
      </c>
      <c r="D122">
        <f t="shared" si="21"/>
        <v>220</v>
      </c>
      <c r="E122">
        <f t="shared" si="22"/>
        <v>92</v>
      </c>
      <c r="F122">
        <f t="shared" si="23"/>
        <v>180</v>
      </c>
      <c r="G122">
        <f t="shared" si="24"/>
        <v>400</v>
      </c>
      <c r="H122">
        <f t="shared" si="25"/>
        <v>20</v>
      </c>
      <c r="I122">
        <f t="shared" si="29"/>
        <v>160</v>
      </c>
      <c r="J122">
        <f t="shared" si="37"/>
        <v>0</v>
      </c>
      <c r="L122">
        <f t="shared" si="26"/>
        <v>3910</v>
      </c>
      <c r="M122">
        <f t="shared" si="27"/>
        <v>160</v>
      </c>
      <c r="N122" s="9" t="e">
        <f>IF(OR($B122&gt;Assump!$E$9,$B122&lt;HVDC_Received_Max),NA(),NI_demand*2)</f>
        <v>#N/A</v>
      </c>
      <c r="O122">
        <f t="shared" si="28"/>
        <v>4070</v>
      </c>
      <c r="R122">
        <f t="shared" si="30"/>
        <v>590</v>
      </c>
      <c r="S122" s="3">
        <f t="shared" si="31"/>
        <v>400</v>
      </c>
      <c r="T122">
        <f t="shared" si="32"/>
        <v>220</v>
      </c>
      <c r="U122">
        <f t="shared" si="33"/>
        <v>180</v>
      </c>
      <c r="V122">
        <f t="shared" si="34"/>
        <v>92</v>
      </c>
      <c r="W122">
        <f t="shared" si="35"/>
        <v>180</v>
      </c>
      <c r="X122">
        <f t="shared" si="36"/>
        <v>400</v>
      </c>
    </row>
    <row r="123" spans="1:24" ht="14.45" x14ac:dyDescent="0.35">
      <c r="A123" s="7">
        <f>B123/(1-Assump!$D$4)</f>
        <v>631.06060606060612</v>
      </c>
      <c r="B123" s="1">
        <v>595</v>
      </c>
      <c r="C123" s="9">
        <f t="shared" si="20"/>
        <v>220</v>
      </c>
      <c r="D123">
        <f t="shared" si="21"/>
        <v>220</v>
      </c>
      <c r="E123">
        <f t="shared" si="22"/>
        <v>97</v>
      </c>
      <c r="F123">
        <f t="shared" si="23"/>
        <v>180</v>
      </c>
      <c r="G123">
        <f t="shared" si="24"/>
        <v>400</v>
      </c>
      <c r="H123">
        <f t="shared" si="25"/>
        <v>20</v>
      </c>
      <c r="I123">
        <f t="shared" si="29"/>
        <v>160</v>
      </c>
      <c r="J123">
        <f t="shared" si="37"/>
        <v>0</v>
      </c>
      <c r="L123">
        <f t="shared" si="26"/>
        <v>3905</v>
      </c>
      <c r="M123">
        <f t="shared" si="27"/>
        <v>160</v>
      </c>
      <c r="N123" s="9" t="e">
        <f>IF(OR($B123&gt;Assump!$E$9,$B123&lt;HVDC_Received_Max),NA(),NI_demand*2)</f>
        <v>#N/A</v>
      </c>
      <c r="O123">
        <f t="shared" si="28"/>
        <v>4065</v>
      </c>
      <c r="R123">
        <f t="shared" si="30"/>
        <v>595</v>
      </c>
      <c r="S123" s="3">
        <f t="shared" si="31"/>
        <v>400</v>
      </c>
      <c r="T123">
        <f t="shared" si="32"/>
        <v>220</v>
      </c>
      <c r="U123">
        <f t="shared" si="33"/>
        <v>180</v>
      </c>
      <c r="V123">
        <f t="shared" si="34"/>
        <v>97</v>
      </c>
      <c r="W123">
        <f t="shared" si="35"/>
        <v>180</v>
      </c>
      <c r="X123">
        <f t="shared" si="36"/>
        <v>400</v>
      </c>
    </row>
    <row r="124" spans="1:24" ht="14.45" x14ac:dyDescent="0.35">
      <c r="A124" s="7">
        <f>B124/(1-Assump!$D$4)</f>
        <v>636.36363636363637</v>
      </c>
      <c r="B124" s="1">
        <v>600</v>
      </c>
      <c r="C124" s="9">
        <f t="shared" si="20"/>
        <v>220</v>
      </c>
      <c r="D124">
        <f t="shared" si="21"/>
        <v>220</v>
      </c>
      <c r="E124">
        <f t="shared" si="22"/>
        <v>102</v>
      </c>
      <c r="F124">
        <f t="shared" si="23"/>
        <v>180</v>
      </c>
      <c r="G124">
        <f t="shared" si="24"/>
        <v>400</v>
      </c>
      <c r="H124">
        <f t="shared" si="25"/>
        <v>20</v>
      </c>
      <c r="I124">
        <f t="shared" si="29"/>
        <v>160</v>
      </c>
      <c r="J124">
        <f t="shared" si="37"/>
        <v>0</v>
      </c>
      <c r="L124">
        <f t="shared" si="26"/>
        <v>3900</v>
      </c>
      <c r="M124">
        <f t="shared" si="27"/>
        <v>160</v>
      </c>
      <c r="N124" s="9" t="e">
        <f>IF(OR($B124&gt;Assump!$E$9,$B124&lt;HVDC_Received_Max),NA(),NI_demand*2)</f>
        <v>#N/A</v>
      </c>
      <c r="O124">
        <f t="shared" si="28"/>
        <v>4060</v>
      </c>
      <c r="R124">
        <f t="shared" si="30"/>
        <v>600</v>
      </c>
      <c r="S124" s="3">
        <f t="shared" si="31"/>
        <v>400</v>
      </c>
      <c r="T124">
        <f t="shared" si="32"/>
        <v>220</v>
      </c>
      <c r="U124">
        <f t="shared" si="33"/>
        <v>180</v>
      </c>
      <c r="V124">
        <f t="shared" si="34"/>
        <v>102</v>
      </c>
      <c r="W124">
        <f t="shared" si="35"/>
        <v>180</v>
      </c>
      <c r="X124">
        <f t="shared" si="36"/>
        <v>400</v>
      </c>
    </row>
    <row r="125" spans="1:24" ht="14.45" x14ac:dyDescent="0.35">
      <c r="A125" s="7">
        <f>B125/(1-Assump!$D$4)</f>
        <v>641.66666666666663</v>
      </c>
      <c r="B125" s="1">
        <v>605</v>
      </c>
      <c r="C125" s="9">
        <f t="shared" si="20"/>
        <v>220</v>
      </c>
      <c r="D125">
        <f t="shared" si="21"/>
        <v>220</v>
      </c>
      <c r="E125">
        <f t="shared" si="22"/>
        <v>107</v>
      </c>
      <c r="F125">
        <f t="shared" si="23"/>
        <v>180</v>
      </c>
      <c r="G125">
        <f t="shared" si="24"/>
        <v>400</v>
      </c>
      <c r="H125">
        <f t="shared" si="25"/>
        <v>20</v>
      </c>
      <c r="I125">
        <f t="shared" si="29"/>
        <v>160</v>
      </c>
      <c r="J125">
        <f t="shared" si="37"/>
        <v>0</v>
      </c>
      <c r="L125">
        <f t="shared" si="26"/>
        <v>3895</v>
      </c>
      <c r="M125">
        <f t="shared" si="27"/>
        <v>160</v>
      </c>
      <c r="N125" s="9" t="e">
        <f>IF(OR($B125&gt;Assump!$E$9,$B125&lt;HVDC_Received_Max),NA(),NI_demand*2)</f>
        <v>#N/A</v>
      </c>
      <c r="O125">
        <f t="shared" si="28"/>
        <v>4055</v>
      </c>
      <c r="R125">
        <f t="shared" si="30"/>
        <v>605</v>
      </c>
      <c r="S125" s="3">
        <f t="shared" si="31"/>
        <v>400</v>
      </c>
      <c r="T125">
        <f t="shared" si="32"/>
        <v>220</v>
      </c>
      <c r="U125">
        <f t="shared" si="33"/>
        <v>180</v>
      </c>
      <c r="V125">
        <f t="shared" si="34"/>
        <v>107</v>
      </c>
      <c r="W125">
        <f t="shared" si="35"/>
        <v>180</v>
      </c>
      <c r="X125">
        <f t="shared" si="36"/>
        <v>400</v>
      </c>
    </row>
    <row r="126" spans="1:24" ht="14.45" x14ac:dyDescent="0.35">
      <c r="A126" s="7">
        <f>B126/(1-Assump!$D$4)</f>
        <v>646.969696969697</v>
      </c>
      <c r="B126" s="1">
        <v>610</v>
      </c>
      <c r="C126" s="9">
        <f t="shared" si="20"/>
        <v>220</v>
      </c>
      <c r="D126">
        <f t="shared" si="21"/>
        <v>220</v>
      </c>
      <c r="E126">
        <f t="shared" si="22"/>
        <v>112</v>
      </c>
      <c r="F126">
        <f t="shared" si="23"/>
        <v>180</v>
      </c>
      <c r="G126">
        <f t="shared" si="24"/>
        <v>400</v>
      </c>
      <c r="H126">
        <f t="shared" si="25"/>
        <v>20</v>
      </c>
      <c r="I126">
        <f t="shared" si="29"/>
        <v>160</v>
      </c>
      <c r="J126">
        <f t="shared" si="37"/>
        <v>0</v>
      </c>
      <c r="L126">
        <f t="shared" si="26"/>
        <v>3890</v>
      </c>
      <c r="M126">
        <f t="shared" si="27"/>
        <v>160</v>
      </c>
      <c r="N126" s="9" t="e">
        <f>IF(OR($B126&gt;Assump!$E$9,$B126&lt;HVDC_Received_Max),NA(),NI_demand*2)</f>
        <v>#N/A</v>
      </c>
      <c r="O126">
        <f t="shared" si="28"/>
        <v>4050</v>
      </c>
      <c r="R126">
        <f t="shared" si="30"/>
        <v>610</v>
      </c>
      <c r="S126" s="3">
        <f t="shared" si="31"/>
        <v>400</v>
      </c>
      <c r="T126">
        <f t="shared" si="32"/>
        <v>220</v>
      </c>
      <c r="U126">
        <f t="shared" si="33"/>
        <v>180</v>
      </c>
      <c r="V126">
        <f t="shared" si="34"/>
        <v>112</v>
      </c>
      <c r="W126">
        <f t="shared" si="35"/>
        <v>180</v>
      </c>
      <c r="X126">
        <f t="shared" si="36"/>
        <v>400</v>
      </c>
    </row>
    <row r="127" spans="1:24" ht="14.45" x14ac:dyDescent="0.35">
      <c r="A127" s="7">
        <f>B127/(1-Assump!$D$4)</f>
        <v>652.27272727272725</v>
      </c>
      <c r="B127" s="1">
        <v>615</v>
      </c>
      <c r="C127" s="9">
        <f t="shared" si="20"/>
        <v>220</v>
      </c>
      <c r="D127">
        <f t="shared" si="21"/>
        <v>220</v>
      </c>
      <c r="E127">
        <f t="shared" si="22"/>
        <v>117</v>
      </c>
      <c r="F127">
        <f t="shared" si="23"/>
        <v>180</v>
      </c>
      <c r="G127">
        <f t="shared" si="24"/>
        <v>400</v>
      </c>
      <c r="H127">
        <f t="shared" si="25"/>
        <v>20</v>
      </c>
      <c r="I127">
        <f t="shared" si="29"/>
        <v>160</v>
      </c>
      <c r="J127">
        <f t="shared" si="37"/>
        <v>0</v>
      </c>
      <c r="L127">
        <f t="shared" si="26"/>
        <v>3885</v>
      </c>
      <c r="M127">
        <f t="shared" si="27"/>
        <v>160</v>
      </c>
      <c r="N127" s="9" t="e">
        <f>IF(OR($B127&gt;Assump!$E$9,$B127&lt;HVDC_Received_Max),NA(),NI_demand*2)</f>
        <v>#N/A</v>
      </c>
      <c r="O127">
        <f t="shared" si="28"/>
        <v>4045</v>
      </c>
      <c r="R127">
        <f t="shared" si="30"/>
        <v>615</v>
      </c>
      <c r="S127" s="3">
        <f t="shared" si="31"/>
        <v>400</v>
      </c>
      <c r="T127">
        <f t="shared" si="32"/>
        <v>220</v>
      </c>
      <c r="U127">
        <f t="shared" si="33"/>
        <v>180</v>
      </c>
      <c r="V127">
        <f t="shared" si="34"/>
        <v>117</v>
      </c>
      <c r="W127">
        <f t="shared" si="35"/>
        <v>180</v>
      </c>
      <c r="X127">
        <f t="shared" si="36"/>
        <v>400</v>
      </c>
    </row>
    <row r="128" spans="1:24" ht="14.45" x14ac:dyDescent="0.35">
      <c r="A128" s="7">
        <f>B128/(1-Assump!$D$4)</f>
        <v>657.57575757575762</v>
      </c>
      <c r="B128" s="1">
        <v>620</v>
      </c>
      <c r="C128" s="9">
        <f t="shared" si="20"/>
        <v>220</v>
      </c>
      <c r="D128">
        <f t="shared" si="21"/>
        <v>220</v>
      </c>
      <c r="E128">
        <f t="shared" si="22"/>
        <v>122</v>
      </c>
      <c r="F128">
        <f t="shared" si="23"/>
        <v>180</v>
      </c>
      <c r="G128">
        <f t="shared" si="24"/>
        <v>400</v>
      </c>
      <c r="H128">
        <f t="shared" si="25"/>
        <v>20</v>
      </c>
      <c r="I128">
        <f t="shared" si="29"/>
        <v>160</v>
      </c>
      <c r="J128">
        <f t="shared" si="37"/>
        <v>0</v>
      </c>
      <c r="L128">
        <f t="shared" si="26"/>
        <v>3880</v>
      </c>
      <c r="M128">
        <f t="shared" si="27"/>
        <v>160</v>
      </c>
      <c r="N128" s="9" t="e">
        <f>IF(OR($B128&gt;Assump!$E$9,$B128&lt;HVDC_Received_Max),NA(),NI_demand*2)</f>
        <v>#N/A</v>
      </c>
      <c r="O128">
        <f t="shared" si="28"/>
        <v>4040</v>
      </c>
      <c r="R128">
        <f t="shared" si="30"/>
        <v>620</v>
      </c>
      <c r="S128" s="3">
        <f t="shared" si="31"/>
        <v>400</v>
      </c>
      <c r="T128">
        <f t="shared" si="32"/>
        <v>220</v>
      </c>
      <c r="U128">
        <f t="shared" si="33"/>
        <v>180</v>
      </c>
      <c r="V128">
        <f t="shared" si="34"/>
        <v>122</v>
      </c>
      <c r="W128">
        <f t="shared" si="35"/>
        <v>180</v>
      </c>
      <c r="X128">
        <f t="shared" si="36"/>
        <v>400</v>
      </c>
    </row>
    <row r="129" spans="1:24" ht="14.45" x14ac:dyDescent="0.35">
      <c r="A129" s="7">
        <f>B129/(1-Assump!$D$4)</f>
        <v>662.87878787878788</v>
      </c>
      <c r="B129" s="1">
        <v>625</v>
      </c>
      <c r="C129" s="9">
        <f t="shared" si="20"/>
        <v>220</v>
      </c>
      <c r="D129">
        <f t="shared" si="21"/>
        <v>220</v>
      </c>
      <c r="E129">
        <f t="shared" si="22"/>
        <v>127</v>
      </c>
      <c r="F129">
        <f t="shared" si="23"/>
        <v>180</v>
      </c>
      <c r="G129">
        <f t="shared" si="24"/>
        <v>400</v>
      </c>
      <c r="H129">
        <f t="shared" si="25"/>
        <v>20</v>
      </c>
      <c r="I129">
        <f t="shared" si="29"/>
        <v>160</v>
      </c>
      <c r="J129">
        <f t="shared" si="37"/>
        <v>0</v>
      </c>
      <c r="L129">
        <f t="shared" si="26"/>
        <v>3875</v>
      </c>
      <c r="M129">
        <f t="shared" si="27"/>
        <v>160</v>
      </c>
      <c r="N129" s="9" t="e">
        <f>IF(OR($B129&gt;Assump!$E$9,$B129&lt;HVDC_Received_Max),NA(),NI_demand*2)</f>
        <v>#N/A</v>
      </c>
      <c r="O129">
        <f t="shared" si="28"/>
        <v>4035</v>
      </c>
      <c r="R129">
        <f t="shared" si="30"/>
        <v>625</v>
      </c>
      <c r="S129" s="3">
        <f t="shared" si="31"/>
        <v>400</v>
      </c>
      <c r="T129">
        <f t="shared" si="32"/>
        <v>220</v>
      </c>
      <c r="U129">
        <f t="shared" si="33"/>
        <v>180</v>
      </c>
      <c r="V129">
        <f t="shared" si="34"/>
        <v>127</v>
      </c>
      <c r="W129">
        <f t="shared" si="35"/>
        <v>180</v>
      </c>
      <c r="X129">
        <f t="shared" si="36"/>
        <v>400</v>
      </c>
    </row>
    <row r="130" spans="1:24" ht="14.45" x14ac:dyDescent="0.35">
      <c r="A130" s="7">
        <f>B130/(1-Assump!$D$4)</f>
        <v>668.18181818181824</v>
      </c>
      <c r="B130" s="1">
        <v>630</v>
      </c>
      <c r="C130" s="9">
        <f t="shared" si="20"/>
        <v>220</v>
      </c>
      <c r="D130">
        <f t="shared" si="21"/>
        <v>220</v>
      </c>
      <c r="E130">
        <f t="shared" si="22"/>
        <v>132</v>
      </c>
      <c r="F130">
        <f t="shared" si="23"/>
        <v>180</v>
      </c>
      <c r="G130">
        <f t="shared" si="24"/>
        <v>400</v>
      </c>
      <c r="H130">
        <f t="shared" si="25"/>
        <v>20</v>
      </c>
      <c r="I130">
        <f t="shared" si="29"/>
        <v>160</v>
      </c>
      <c r="J130">
        <f t="shared" si="37"/>
        <v>0</v>
      </c>
      <c r="L130">
        <f t="shared" si="26"/>
        <v>3870</v>
      </c>
      <c r="M130">
        <f t="shared" si="27"/>
        <v>160</v>
      </c>
      <c r="N130" s="9" t="e">
        <f>IF(OR($B130&gt;Assump!$E$9,$B130&lt;HVDC_Received_Max),NA(),NI_demand*2)</f>
        <v>#N/A</v>
      </c>
      <c r="O130">
        <f t="shared" si="28"/>
        <v>4030</v>
      </c>
      <c r="R130">
        <f t="shared" si="30"/>
        <v>630</v>
      </c>
      <c r="S130" s="3">
        <f t="shared" si="31"/>
        <v>400</v>
      </c>
      <c r="T130">
        <f t="shared" si="32"/>
        <v>220</v>
      </c>
      <c r="U130">
        <f t="shared" si="33"/>
        <v>180</v>
      </c>
      <c r="V130">
        <f t="shared" si="34"/>
        <v>132</v>
      </c>
      <c r="W130">
        <f t="shared" si="35"/>
        <v>180</v>
      </c>
      <c r="X130">
        <f t="shared" si="36"/>
        <v>400</v>
      </c>
    </row>
    <row r="131" spans="1:24" ht="14.45" x14ac:dyDescent="0.35">
      <c r="A131" s="7">
        <f>B131/(1-Assump!$D$4)</f>
        <v>673.4848484848485</v>
      </c>
      <c r="B131" s="1">
        <v>635</v>
      </c>
      <c r="C131" s="9">
        <f t="shared" si="20"/>
        <v>220</v>
      </c>
      <c r="D131">
        <f t="shared" si="21"/>
        <v>220</v>
      </c>
      <c r="E131">
        <f t="shared" si="22"/>
        <v>137</v>
      </c>
      <c r="F131">
        <f t="shared" si="23"/>
        <v>180</v>
      </c>
      <c r="G131">
        <f t="shared" si="24"/>
        <v>400</v>
      </c>
      <c r="H131">
        <f t="shared" si="25"/>
        <v>20</v>
      </c>
      <c r="I131">
        <f t="shared" si="29"/>
        <v>160</v>
      </c>
      <c r="J131">
        <f t="shared" si="37"/>
        <v>0</v>
      </c>
      <c r="L131">
        <f t="shared" si="26"/>
        <v>3865</v>
      </c>
      <c r="M131">
        <f t="shared" si="27"/>
        <v>160</v>
      </c>
      <c r="N131" s="9" t="e">
        <f>IF(OR($B131&gt;Assump!$E$9,$B131&lt;HVDC_Received_Max),NA(),NI_demand*2)</f>
        <v>#N/A</v>
      </c>
      <c r="O131">
        <f t="shared" si="28"/>
        <v>4025</v>
      </c>
      <c r="R131">
        <f t="shared" si="30"/>
        <v>635</v>
      </c>
      <c r="S131" s="3">
        <f t="shared" si="31"/>
        <v>400</v>
      </c>
      <c r="T131">
        <f t="shared" si="32"/>
        <v>220</v>
      </c>
      <c r="U131">
        <f t="shared" si="33"/>
        <v>180</v>
      </c>
      <c r="V131">
        <f t="shared" si="34"/>
        <v>137</v>
      </c>
      <c r="W131">
        <f t="shared" si="35"/>
        <v>180</v>
      </c>
      <c r="X131">
        <f t="shared" si="36"/>
        <v>400</v>
      </c>
    </row>
    <row r="132" spans="1:24" ht="14.45" x14ac:dyDescent="0.35">
      <c r="A132" s="7">
        <f>B132/(1-Assump!$D$4)</f>
        <v>678.78787878787875</v>
      </c>
      <c r="B132" s="1">
        <v>640</v>
      </c>
      <c r="C132" s="9">
        <f t="shared" ref="C132:C195" si="38">MIN(HVDC_IR_transfer_cap,HVDC_Received_Max-B132-ModulationRisk)</f>
        <v>220</v>
      </c>
      <c r="D132">
        <f t="shared" ref="D132:D195" si="39">IF($B132&lt;HVDC_Received_Max,MAX(0,MIN(AC_CE,C132)),NA())</f>
        <v>220</v>
      </c>
      <c r="E132">
        <f t="shared" ref="E132:E195" si="40">IF($B132&lt;HVDC_Received_Max,B132-Pole2_limit+ModulationRisk,NA())</f>
        <v>142</v>
      </c>
      <c r="F132">
        <f t="shared" ref="F132:F195" si="41">IF($B132&lt;HVDC_Received_Max,MAX(0,MIN(AC_CE,AC_CE-C132)),NA())</f>
        <v>180</v>
      </c>
      <c r="G132">
        <f t="shared" ref="G132:G195" si="42">IF($B132&lt;HVDC_Received_Max,AC_CE,NA())</f>
        <v>400</v>
      </c>
      <c r="H132">
        <f t="shared" ref="H132:H195" si="43">IF($B132&lt;HVDC_Received_Max,NI_IL,NA())</f>
        <v>20</v>
      </c>
      <c r="I132">
        <f t="shared" si="29"/>
        <v>160</v>
      </c>
      <c r="J132">
        <f t="shared" si="37"/>
        <v>0</v>
      </c>
      <c r="L132">
        <f t="shared" ref="L132:L195" si="44">IF($B132&lt;HVDC_Received_Max,NI_demand-$B132,NA())</f>
        <v>3860</v>
      </c>
      <c r="M132">
        <f t="shared" ref="M132:M195" si="45">IF($B132&lt;HVDC_Received_Max,I132,NA())</f>
        <v>160</v>
      </c>
      <c r="N132" s="9" t="e">
        <f>IF(OR($B132&gt;Assump!$E$9,$B132&lt;HVDC_Received_Max),NA(),NI_demand*2)</f>
        <v>#N/A</v>
      </c>
      <c r="O132">
        <f t="shared" ref="O132:O195" si="46">SUM(L132:M132)</f>
        <v>4020</v>
      </c>
      <c r="R132">
        <f t="shared" si="30"/>
        <v>640</v>
      </c>
      <c r="S132" s="3">
        <f t="shared" si="31"/>
        <v>400</v>
      </c>
      <c r="T132">
        <f t="shared" si="32"/>
        <v>220</v>
      </c>
      <c r="U132">
        <f t="shared" si="33"/>
        <v>180</v>
      </c>
      <c r="V132">
        <f t="shared" si="34"/>
        <v>142</v>
      </c>
      <c r="W132">
        <f t="shared" si="35"/>
        <v>180</v>
      </c>
      <c r="X132">
        <f t="shared" si="36"/>
        <v>400</v>
      </c>
    </row>
    <row r="133" spans="1:24" ht="14.45" x14ac:dyDescent="0.35">
      <c r="A133" s="7">
        <f>B133/(1-Assump!$D$4)</f>
        <v>684.09090909090912</v>
      </c>
      <c r="B133" s="1">
        <v>645</v>
      </c>
      <c r="C133" s="9">
        <f t="shared" si="38"/>
        <v>220</v>
      </c>
      <c r="D133">
        <f t="shared" si="39"/>
        <v>220</v>
      </c>
      <c r="E133">
        <f t="shared" si="40"/>
        <v>147</v>
      </c>
      <c r="F133">
        <f t="shared" si="41"/>
        <v>180</v>
      </c>
      <c r="G133">
        <f t="shared" si="42"/>
        <v>400</v>
      </c>
      <c r="H133">
        <f t="shared" si="43"/>
        <v>20</v>
      </c>
      <c r="I133">
        <f t="shared" ref="I133:I196" si="47">MAX(0,MAX(E133,F133)-H133)</f>
        <v>160</v>
      </c>
      <c r="J133">
        <f t="shared" si="37"/>
        <v>0</v>
      </c>
      <c r="L133">
        <f t="shared" si="44"/>
        <v>3855</v>
      </c>
      <c r="M133">
        <f t="shared" si="45"/>
        <v>160</v>
      </c>
      <c r="N133" s="9" t="e">
        <f>IF(OR($B133&gt;Assump!$E$9,$B133&lt;HVDC_Received_Max),NA(),NI_demand*2)</f>
        <v>#N/A</v>
      </c>
      <c r="O133">
        <f t="shared" si="46"/>
        <v>4015</v>
      </c>
      <c r="R133">
        <f t="shared" ref="R133:R196" si="48">B133</f>
        <v>645</v>
      </c>
      <c r="S133" s="3">
        <f t="shared" ref="S133:S196" si="49">G133</f>
        <v>400</v>
      </c>
      <c r="T133">
        <f t="shared" ref="T133:T196" si="50">D133</f>
        <v>220</v>
      </c>
      <c r="U133">
        <f t="shared" ref="U133:U196" si="51">F133</f>
        <v>180</v>
      </c>
      <c r="V133">
        <f t="shared" ref="V133:V196" si="52">E133</f>
        <v>147</v>
      </c>
      <c r="W133">
        <f t="shared" ref="W133:W196" si="53">MAX(U133:V133)</f>
        <v>180</v>
      </c>
      <c r="X133">
        <f t="shared" ref="X133:X196" si="54">MAX(S133,V133)</f>
        <v>400</v>
      </c>
    </row>
    <row r="134" spans="1:24" ht="14.45" x14ac:dyDescent="0.35">
      <c r="A134" s="7">
        <f>B134/(1-Assump!$D$4)</f>
        <v>689.39393939393938</v>
      </c>
      <c r="B134" s="1">
        <v>650</v>
      </c>
      <c r="C134" s="9">
        <f t="shared" si="38"/>
        <v>220</v>
      </c>
      <c r="D134">
        <f t="shared" si="39"/>
        <v>220</v>
      </c>
      <c r="E134">
        <f t="shared" si="40"/>
        <v>152</v>
      </c>
      <c r="F134">
        <f t="shared" si="41"/>
        <v>180</v>
      </c>
      <c r="G134">
        <f t="shared" si="42"/>
        <v>400</v>
      </c>
      <c r="H134">
        <f t="shared" si="43"/>
        <v>20</v>
      </c>
      <c r="I134">
        <f t="shared" si="47"/>
        <v>160</v>
      </c>
      <c r="J134">
        <f t="shared" si="37"/>
        <v>0</v>
      </c>
      <c r="L134">
        <f t="shared" si="44"/>
        <v>3850</v>
      </c>
      <c r="M134">
        <f t="shared" si="45"/>
        <v>160</v>
      </c>
      <c r="N134" s="9" t="e">
        <f>IF(OR($B134&gt;Assump!$E$9,$B134&lt;HVDC_Received_Max),NA(),NI_demand*2)</f>
        <v>#N/A</v>
      </c>
      <c r="O134">
        <f t="shared" si="46"/>
        <v>4010</v>
      </c>
      <c r="R134">
        <f t="shared" si="48"/>
        <v>650</v>
      </c>
      <c r="S134" s="3">
        <f t="shared" si="49"/>
        <v>400</v>
      </c>
      <c r="T134">
        <f t="shared" si="50"/>
        <v>220</v>
      </c>
      <c r="U134">
        <f t="shared" si="51"/>
        <v>180</v>
      </c>
      <c r="V134">
        <f t="shared" si="52"/>
        <v>152</v>
      </c>
      <c r="W134">
        <f t="shared" si="53"/>
        <v>180</v>
      </c>
      <c r="X134">
        <f t="shared" si="54"/>
        <v>400</v>
      </c>
    </row>
    <row r="135" spans="1:24" ht="14.45" x14ac:dyDescent="0.35">
      <c r="A135" s="7">
        <f>B135/(1-Assump!$D$4)</f>
        <v>694.69696969696975</v>
      </c>
      <c r="B135" s="1">
        <v>655</v>
      </c>
      <c r="C135" s="9">
        <f t="shared" si="38"/>
        <v>220</v>
      </c>
      <c r="D135">
        <f t="shared" si="39"/>
        <v>220</v>
      </c>
      <c r="E135">
        <f t="shared" si="40"/>
        <v>157</v>
      </c>
      <c r="F135">
        <f t="shared" si="41"/>
        <v>180</v>
      </c>
      <c r="G135">
        <f t="shared" si="42"/>
        <v>400</v>
      </c>
      <c r="H135">
        <f t="shared" si="43"/>
        <v>20</v>
      </c>
      <c r="I135">
        <f t="shared" si="47"/>
        <v>160</v>
      </c>
      <c r="J135">
        <f t="shared" si="37"/>
        <v>0</v>
      </c>
      <c r="L135">
        <f t="shared" si="44"/>
        <v>3845</v>
      </c>
      <c r="M135">
        <f t="shared" si="45"/>
        <v>160</v>
      </c>
      <c r="N135" s="9" t="e">
        <f>IF(OR($B135&gt;Assump!$E$9,$B135&lt;HVDC_Received_Max),NA(),NI_demand*2)</f>
        <v>#N/A</v>
      </c>
      <c r="O135">
        <f t="shared" si="46"/>
        <v>4005</v>
      </c>
      <c r="R135">
        <f t="shared" si="48"/>
        <v>655</v>
      </c>
      <c r="S135" s="3">
        <f t="shared" si="49"/>
        <v>400</v>
      </c>
      <c r="T135">
        <f t="shared" si="50"/>
        <v>220</v>
      </c>
      <c r="U135">
        <f t="shared" si="51"/>
        <v>180</v>
      </c>
      <c r="V135">
        <f t="shared" si="52"/>
        <v>157</v>
      </c>
      <c r="W135">
        <f t="shared" si="53"/>
        <v>180</v>
      </c>
      <c r="X135">
        <f t="shared" si="54"/>
        <v>400</v>
      </c>
    </row>
    <row r="136" spans="1:24" ht="14.45" x14ac:dyDescent="0.35">
      <c r="A136" s="7">
        <f>B136/(1-Assump!$D$4)</f>
        <v>700</v>
      </c>
      <c r="B136" s="1">
        <v>660</v>
      </c>
      <c r="C136" s="9">
        <f t="shared" si="38"/>
        <v>220</v>
      </c>
      <c r="D136">
        <f t="shared" si="39"/>
        <v>220</v>
      </c>
      <c r="E136">
        <f t="shared" si="40"/>
        <v>162</v>
      </c>
      <c r="F136">
        <f t="shared" si="41"/>
        <v>180</v>
      </c>
      <c r="G136">
        <f t="shared" si="42"/>
        <v>400</v>
      </c>
      <c r="H136">
        <f t="shared" si="43"/>
        <v>20</v>
      </c>
      <c r="I136">
        <f t="shared" si="47"/>
        <v>160</v>
      </c>
      <c r="J136">
        <f t="shared" si="37"/>
        <v>0</v>
      </c>
      <c r="L136">
        <f t="shared" si="44"/>
        <v>3840</v>
      </c>
      <c r="M136">
        <f t="shared" si="45"/>
        <v>160</v>
      </c>
      <c r="N136" s="9" t="e">
        <f>IF(OR($B136&gt;Assump!$E$9,$B136&lt;HVDC_Received_Max),NA(),NI_demand*2)</f>
        <v>#N/A</v>
      </c>
      <c r="O136">
        <f t="shared" si="46"/>
        <v>4000</v>
      </c>
      <c r="R136">
        <f t="shared" si="48"/>
        <v>660</v>
      </c>
      <c r="S136" s="3">
        <f t="shared" si="49"/>
        <v>400</v>
      </c>
      <c r="T136">
        <f t="shared" si="50"/>
        <v>220</v>
      </c>
      <c r="U136">
        <f t="shared" si="51"/>
        <v>180</v>
      </c>
      <c r="V136">
        <f t="shared" si="52"/>
        <v>162</v>
      </c>
      <c r="W136">
        <f t="shared" si="53"/>
        <v>180</v>
      </c>
      <c r="X136">
        <f t="shared" si="54"/>
        <v>400</v>
      </c>
    </row>
    <row r="137" spans="1:24" ht="14.45" x14ac:dyDescent="0.35">
      <c r="A137" s="7">
        <f>B137/(1-Assump!$D$4)</f>
        <v>705.30303030303037</v>
      </c>
      <c r="B137" s="1">
        <v>665</v>
      </c>
      <c r="C137" s="9">
        <f t="shared" si="38"/>
        <v>220</v>
      </c>
      <c r="D137">
        <f t="shared" si="39"/>
        <v>220</v>
      </c>
      <c r="E137">
        <f t="shared" si="40"/>
        <v>167</v>
      </c>
      <c r="F137">
        <f t="shared" si="41"/>
        <v>180</v>
      </c>
      <c r="G137">
        <f t="shared" si="42"/>
        <v>400</v>
      </c>
      <c r="H137">
        <f t="shared" si="43"/>
        <v>20</v>
      </c>
      <c r="I137">
        <f t="shared" si="47"/>
        <v>160</v>
      </c>
      <c r="J137">
        <f t="shared" si="37"/>
        <v>0</v>
      </c>
      <c r="L137">
        <f t="shared" si="44"/>
        <v>3835</v>
      </c>
      <c r="M137">
        <f t="shared" si="45"/>
        <v>160</v>
      </c>
      <c r="N137" s="9" t="e">
        <f>IF(OR($B137&gt;Assump!$E$9,$B137&lt;HVDC_Received_Max),NA(),NI_demand*2)</f>
        <v>#N/A</v>
      </c>
      <c r="O137">
        <f t="shared" si="46"/>
        <v>3995</v>
      </c>
      <c r="R137">
        <f t="shared" si="48"/>
        <v>665</v>
      </c>
      <c r="S137" s="3">
        <f t="shared" si="49"/>
        <v>400</v>
      </c>
      <c r="T137">
        <f t="shared" si="50"/>
        <v>220</v>
      </c>
      <c r="U137">
        <f t="shared" si="51"/>
        <v>180</v>
      </c>
      <c r="V137">
        <f t="shared" si="52"/>
        <v>167</v>
      </c>
      <c r="W137">
        <f t="shared" si="53"/>
        <v>180</v>
      </c>
      <c r="X137">
        <f t="shared" si="54"/>
        <v>400</v>
      </c>
    </row>
    <row r="138" spans="1:24" ht="14.45" x14ac:dyDescent="0.35">
      <c r="A138" s="7">
        <f>B138/(1-Assump!$D$4)</f>
        <v>710.60606060606062</v>
      </c>
      <c r="B138" s="1">
        <v>670</v>
      </c>
      <c r="C138" s="9">
        <f t="shared" si="38"/>
        <v>220</v>
      </c>
      <c r="D138">
        <f t="shared" si="39"/>
        <v>220</v>
      </c>
      <c r="E138">
        <f t="shared" si="40"/>
        <v>172</v>
      </c>
      <c r="F138">
        <f t="shared" si="41"/>
        <v>180</v>
      </c>
      <c r="G138">
        <f t="shared" si="42"/>
        <v>400</v>
      </c>
      <c r="H138">
        <f t="shared" si="43"/>
        <v>20</v>
      </c>
      <c r="I138">
        <f t="shared" si="47"/>
        <v>160</v>
      </c>
      <c r="J138">
        <f t="shared" si="37"/>
        <v>0</v>
      </c>
      <c r="L138">
        <f t="shared" si="44"/>
        <v>3830</v>
      </c>
      <c r="M138">
        <f t="shared" si="45"/>
        <v>160</v>
      </c>
      <c r="N138" s="9" t="e">
        <f>IF(OR($B138&gt;Assump!$E$9,$B138&lt;HVDC_Received_Max),NA(),NI_demand*2)</f>
        <v>#N/A</v>
      </c>
      <c r="O138">
        <f t="shared" si="46"/>
        <v>3990</v>
      </c>
      <c r="R138">
        <f t="shared" si="48"/>
        <v>670</v>
      </c>
      <c r="S138" s="3">
        <f t="shared" si="49"/>
        <v>400</v>
      </c>
      <c r="T138">
        <f t="shared" si="50"/>
        <v>220</v>
      </c>
      <c r="U138">
        <f t="shared" si="51"/>
        <v>180</v>
      </c>
      <c r="V138">
        <f t="shared" si="52"/>
        <v>172</v>
      </c>
      <c r="W138">
        <f t="shared" si="53"/>
        <v>180</v>
      </c>
      <c r="X138">
        <f t="shared" si="54"/>
        <v>400</v>
      </c>
    </row>
    <row r="139" spans="1:24" ht="14.45" x14ac:dyDescent="0.35">
      <c r="A139" s="7">
        <f>B139/(1-Assump!$D$4)</f>
        <v>715.90909090909088</v>
      </c>
      <c r="B139" s="1">
        <v>675</v>
      </c>
      <c r="C139" s="9">
        <f t="shared" si="38"/>
        <v>220</v>
      </c>
      <c r="D139">
        <f t="shared" si="39"/>
        <v>220</v>
      </c>
      <c r="E139">
        <f t="shared" si="40"/>
        <v>177</v>
      </c>
      <c r="F139">
        <f t="shared" si="41"/>
        <v>180</v>
      </c>
      <c r="G139">
        <f t="shared" si="42"/>
        <v>400</v>
      </c>
      <c r="H139">
        <f t="shared" si="43"/>
        <v>20</v>
      </c>
      <c r="I139">
        <f t="shared" si="47"/>
        <v>160</v>
      </c>
      <c r="J139">
        <f t="shared" si="37"/>
        <v>0</v>
      </c>
      <c r="L139">
        <f t="shared" si="44"/>
        <v>3825</v>
      </c>
      <c r="M139">
        <f t="shared" si="45"/>
        <v>160</v>
      </c>
      <c r="N139" s="9" t="e">
        <f>IF(OR($B139&gt;Assump!$E$9,$B139&lt;HVDC_Received_Max),NA(),NI_demand*2)</f>
        <v>#N/A</v>
      </c>
      <c r="O139">
        <f t="shared" si="46"/>
        <v>3985</v>
      </c>
      <c r="R139">
        <f t="shared" si="48"/>
        <v>675</v>
      </c>
      <c r="S139" s="3">
        <f t="shared" si="49"/>
        <v>400</v>
      </c>
      <c r="T139">
        <f t="shared" si="50"/>
        <v>220</v>
      </c>
      <c r="U139">
        <f t="shared" si="51"/>
        <v>180</v>
      </c>
      <c r="V139">
        <f t="shared" si="52"/>
        <v>177</v>
      </c>
      <c r="W139">
        <f t="shared" si="53"/>
        <v>180</v>
      </c>
      <c r="X139">
        <f t="shared" si="54"/>
        <v>400</v>
      </c>
    </row>
    <row r="140" spans="1:24" ht="14.45" x14ac:dyDescent="0.35">
      <c r="A140" s="7">
        <f>B140/(1-Assump!$D$4)</f>
        <v>721.21212121212125</v>
      </c>
      <c r="B140" s="1">
        <v>680</v>
      </c>
      <c r="C140" s="9">
        <f t="shared" si="38"/>
        <v>220</v>
      </c>
      <c r="D140">
        <f t="shared" si="39"/>
        <v>220</v>
      </c>
      <c r="E140">
        <f t="shared" si="40"/>
        <v>182</v>
      </c>
      <c r="F140">
        <f t="shared" si="41"/>
        <v>180</v>
      </c>
      <c r="G140">
        <f t="shared" si="42"/>
        <v>400</v>
      </c>
      <c r="H140">
        <f t="shared" si="43"/>
        <v>20</v>
      </c>
      <c r="I140">
        <f t="shared" si="47"/>
        <v>162</v>
      </c>
      <c r="J140">
        <f t="shared" si="37"/>
        <v>2</v>
      </c>
      <c r="L140">
        <f t="shared" si="44"/>
        <v>3820</v>
      </c>
      <c r="M140">
        <f t="shared" si="45"/>
        <v>162</v>
      </c>
      <c r="N140" s="9" t="e">
        <f>IF(OR($B140&gt;Assump!$E$9,$B140&lt;HVDC_Received_Max),NA(),NI_demand*2)</f>
        <v>#N/A</v>
      </c>
      <c r="O140">
        <f t="shared" si="46"/>
        <v>3982</v>
      </c>
      <c r="R140">
        <f t="shared" si="48"/>
        <v>680</v>
      </c>
      <c r="S140" s="3">
        <f t="shared" si="49"/>
        <v>400</v>
      </c>
      <c r="T140">
        <f t="shared" si="50"/>
        <v>220</v>
      </c>
      <c r="U140">
        <f t="shared" si="51"/>
        <v>180</v>
      </c>
      <c r="V140">
        <f t="shared" si="52"/>
        <v>182</v>
      </c>
      <c r="W140">
        <f t="shared" si="53"/>
        <v>182</v>
      </c>
      <c r="X140">
        <f t="shared" si="54"/>
        <v>400</v>
      </c>
    </row>
    <row r="141" spans="1:24" ht="14.45" x14ac:dyDescent="0.35">
      <c r="A141" s="7">
        <f>B141/(1-Assump!$D$4)</f>
        <v>726.5151515151515</v>
      </c>
      <c r="B141" s="1">
        <v>685</v>
      </c>
      <c r="C141" s="9">
        <f t="shared" si="38"/>
        <v>220</v>
      </c>
      <c r="D141">
        <f t="shared" si="39"/>
        <v>220</v>
      </c>
      <c r="E141">
        <f t="shared" si="40"/>
        <v>187</v>
      </c>
      <c r="F141">
        <f t="shared" si="41"/>
        <v>180</v>
      </c>
      <c r="G141">
        <f t="shared" si="42"/>
        <v>400</v>
      </c>
      <c r="H141">
        <f t="shared" si="43"/>
        <v>20</v>
      </c>
      <c r="I141">
        <f t="shared" si="47"/>
        <v>167</v>
      </c>
      <c r="J141">
        <f t="shared" si="37"/>
        <v>5</v>
      </c>
      <c r="L141">
        <f t="shared" si="44"/>
        <v>3815</v>
      </c>
      <c r="M141">
        <f t="shared" si="45"/>
        <v>167</v>
      </c>
      <c r="N141" s="9" t="e">
        <f>IF(OR($B141&gt;Assump!$E$9,$B141&lt;HVDC_Received_Max),NA(),NI_demand*2)</f>
        <v>#N/A</v>
      </c>
      <c r="O141">
        <f t="shared" si="46"/>
        <v>3982</v>
      </c>
      <c r="R141">
        <f t="shared" si="48"/>
        <v>685</v>
      </c>
      <c r="S141" s="3">
        <f t="shared" si="49"/>
        <v>400</v>
      </c>
      <c r="T141">
        <f t="shared" si="50"/>
        <v>220</v>
      </c>
      <c r="U141">
        <f t="shared" si="51"/>
        <v>180</v>
      </c>
      <c r="V141">
        <f t="shared" si="52"/>
        <v>187</v>
      </c>
      <c r="W141">
        <f t="shared" si="53"/>
        <v>187</v>
      </c>
      <c r="X141">
        <f t="shared" si="54"/>
        <v>400</v>
      </c>
    </row>
    <row r="142" spans="1:24" ht="14.45" x14ac:dyDescent="0.35">
      <c r="A142" s="7">
        <f>B142/(1-Assump!$D$4)</f>
        <v>731.81818181818187</v>
      </c>
      <c r="B142" s="1">
        <v>690</v>
      </c>
      <c r="C142" s="9">
        <f t="shared" si="38"/>
        <v>220</v>
      </c>
      <c r="D142">
        <f t="shared" si="39"/>
        <v>220</v>
      </c>
      <c r="E142">
        <f t="shared" si="40"/>
        <v>192</v>
      </c>
      <c r="F142">
        <f t="shared" si="41"/>
        <v>180</v>
      </c>
      <c r="G142">
        <f t="shared" si="42"/>
        <v>400</v>
      </c>
      <c r="H142">
        <f t="shared" si="43"/>
        <v>20</v>
      </c>
      <c r="I142">
        <f t="shared" si="47"/>
        <v>172</v>
      </c>
      <c r="J142">
        <f t="shared" si="37"/>
        <v>5</v>
      </c>
      <c r="L142">
        <f t="shared" si="44"/>
        <v>3810</v>
      </c>
      <c r="M142">
        <f t="shared" si="45"/>
        <v>172</v>
      </c>
      <c r="N142" s="9" t="e">
        <f>IF(OR($B142&gt;Assump!$E$9,$B142&lt;HVDC_Received_Max),NA(),NI_demand*2)</f>
        <v>#N/A</v>
      </c>
      <c r="O142">
        <f t="shared" si="46"/>
        <v>3982</v>
      </c>
      <c r="R142">
        <f t="shared" si="48"/>
        <v>690</v>
      </c>
      <c r="S142" s="3">
        <f t="shared" si="49"/>
        <v>400</v>
      </c>
      <c r="T142">
        <f t="shared" si="50"/>
        <v>220</v>
      </c>
      <c r="U142">
        <f t="shared" si="51"/>
        <v>180</v>
      </c>
      <c r="V142">
        <f t="shared" si="52"/>
        <v>192</v>
      </c>
      <c r="W142">
        <f t="shared" si="53"/>
        <v>192</v>
      </c>
      <c r="X142">
        <f t="shared" si="54"/>
        <v>400</v>
      </c>
    </row>
    <row r="143" spans="1:24" ht="14.45" x14ac:dyDescent="0.35">
      <c r="A143" s="7">
        <f>B143/(1-Assump!$D$4)</f>
        <v>737.12121212121212</v>
      </c>
      <c r="B143" s="1">
        <v>695</v>
      </c>
      <c r="C143" s="9">
        <f t="shared" si="38"/>
        <v>220</v>
      </c>
      <c r="D143">
        <f t="shared" si="39"/>
        <v>220</v>
      </c>
      <c r="E143">
        <f t="shared" si="40"/>
        <v>197</v>
      </c>
      <c r="F143">
        <f t="shared" si="41"/>
        <v>180</v>
      </c>
      <c r="G143">
        <f t="shared" si="42"/>
        <v>400</v>
      </c>
      <c r="H143">
        <f t="shared" si="43"/>
        <v>20</v>
      </c>
      <c r="I143">
        <f t="shared" si="47"/>
        <v>177</v>
      </c>
      <c r="J143">
        <f t="shared" si="37"/>
        <v>5</v>
      </c>
      <c r="L143">
        <f t="shared" si="44"/>
        <v>3805</v>
      </c>
      <c r="M143">
        <f t="shared" si="45"/>
        <v>177</v>
      </c>
      <c r="N143" s="9" t="e">
        <f>IF(OR($B143&gt;Assump!$E$9,$B143&lt;HVDC_Received_Max),NA(),NI_demand*2)</f>
        <v>#N/A</v>
      </c>
      <c r="O143">
        <f t="shared" si="46"/>
        <v>3982</v>
      </c>
      <c r="R143">
        <f t="shared" si="48"/>
        <v>695</v>
      </c>
      <c r="S143" s="3">
        <f t="shared" si="49"/>
        <v>400</v>
      </c>
      <c r="T143">
        <f t="shared" si="50"/>
        <v>220</v>
      </c>
      <c r="U143">
        <f t="shared" si="51"/>
        <v>180</v>
      </c>
      <c r="V143">
        <f t="shared" si="52"/>
        <v>197</v>
      </c>
      <c r="W143">
        <f t="shared" si="53"/>
        <v>197</v>
      </c>
      <c r="X143">
        <f t="shared" si="54"/>
        <v>400</v>
      </c>
    </row>
    <row r="144" spans="1:24" ht="14.45" x14ac:dyDescent="0.35">
      <c r="A144" s="7">
        <f>B144/(1-Assump!$D$4)</f>
        <v>742.42424242424249</v>
      </c>
      <c r="B144" s="1">
        <v>700</v>
      </c>
      <c r="C144" s="9">
        <f t="shared" si="38"/>
        <v>220</v>
      </c>
      <c r="D144">
        <f t="shared" si="39"/>
        <v>220</v>
      </c>
      <c r="E144">
        <f t="shared" si="40"/>
        <v>202</v>
      </c>
      <c r="F144">
        <f t="shared" si="41"/>
        <v>180</v>
      </c>
      <c r="G144">
        <f t="shared" si="42"/>
        <v>400</v>
      </c>
      <c r="H144">
        <f t="shared" si="43"/>
        <v>20</v>
      </c>
      <c r="I144">
        <f t="shared" si="47"/>
        <v>182</v>
      </c>
      <c r="J144">
        <f t="shared" si="37"/>
        <v>5</v>
      </c>
      <c r="L144">
        <f t="shared" si="44"/>
        <v>3800</v>
      </c>
      <c r="M144">
        <f t="shared" si="45"/>
        <v>182</v>
      </c>
      <c r="N144" s="9" t="e">
        <f>IF(OR($B144&gt;Assump!$E$9,$B144&lt;HVDC_Received_Max),NA(),NI_demand*2)</f>
        <v>#N/A</v>
      </c>
      <c r="O144">
        <f t="shared" si="46"/>
        <v>3982</v>
      </c>
      <c r="R144">
        <f t="shared" si="48"/>
        <v>700</v>
      </c>
      <c r="S144" s="3">
        <f t="shared" si="49"/>
        <v>400</v>
      </c>
      <c r="T144">
        <f t="shared" si="50"/>
        <v>220</v>
      </c>
      <c r="U144">
        <f t="shared" si="51"/>
        <v>180</v>
      </c>
      <c r="V144">
        <f t="shared" si="52"/>
        <v>202</v>
      </c>
      <c r="W144">
        <f t="shared" si="53"/>
        <v>202</v>
      </c>
      <c r="X144">
        <f t="shared" si="54"/>
        <v>400</v>
      </c>
    </row>
    <row r="145" spans="1:24" ht="14.45" x14ac:dyDescent="0.35">
      <c r="A145" s="7">
        <f>B145/(1-Assump!$D$4)</f>
        <v>747.72727272727275</v>
      </c>
      <c r="B145" s="1">
        <v>705</v>
      </c>
      <c r="C145" s="9">
        <f t="shared" si="38"/>
        <v>220</v>
      </c>
      <c r="D145">
        <f t="shared" si="39"/>
        <v>220</v>
      </c>
      <c r="E145">
        <f t="shared" si="40"/>
        <v>207</v>
      </c>
      <c r="F145">
        <f t="shared" si="41"/>
        <v>180</v>
      </c>
      <c r="G145">
        <f t="shared" si="42"/>
        <v>400</v>
      </c>
      <c r="H145">
        <f t="shared" si="43"/>
        <v>20</v>
      </c>
      <c r="I145">
        <f t="shared" si="47"/>
        <v>187</v>
      </c>
      <c r="J145">
        <f t="shared" si="37"/>
        <v>5</v>
      </c>
      <c r="L145">
        <f t="shared" si="44"/>
        <v>3795</v>
      </c>
      <c r="M145">
        <f t="shared" si="45"/>
        <v>187</v>
      </c>
      <c r="N145" s="9" t="e">
        <f>IF(OR($B145&gt;Assump!$E$9,$B145&lt;HVDC_Received_Max),NA(),NI_demand*2)</f>
        <v>#N/A</v>
      </c>
      <c r="O145">
        <f t="shared" si="46"/>
        <v>3982</v>
      </c>
      <c r="R145">
        <f t="shared" si="48"/>
        <v>705</v>
      </c>
      <c r="S145" s="3">
        <f t="shared" si="49"/>
        <v>400</v>
      </c>
      <c r="T145">
        <f t="shared" si="50"/>
        <v>220</v>
      </c>
      <c r="U145">
        <f t="shared" si="51"/>
        <v>180</v>
      </c>
      <c r="V145">
        <f t="shared" si="52"/>
        <v>207</v>
      </c>
      <c r="W145">
        <f t="shared" si="53"/>
        <v>207</v>
      </c>
      <c r="X145">
        <f t="shared" si="54"/>
        <v>400</v>
      </c>
    </row>
    <row r="146" spans="1:24" ht="14.45" x14ac:dyDescent="0.35">
      <c r="A146" s="7">
        <f>B146/(1-Assump!$D$4)</f>
        <v>753.030303030303</v>
      </c>
      <c r="B146" s="1">
        <v>710</v>
      </c>
      <c r="C146" s="9">
        <f t="shared" si="38"/>
        <v>220</v>
      </c>
      <c r="D146">
        <f t="shared" si="39"/>
        <v>220</v>
      </c>
      <c r="E146">
        <f t="shared" si="40"/>
        <v>212</v>
      </c>
      <c r="F146">
        <f t="shared" si="41"/>
        <v>180</v>
      </c>
      <c r="G146">
        <f t="shared" si="42"/>
        <v>400</v>
      </c>
      <c r="H146">
        <f t="shared" si="43"/>
        <v>20</v>
      </c>
      <c r="I146">
        <f t="shared" si="47"/>
        <v>192</v>
      </c>
      <c r="J146">
        <f t="shared" si="37"/>
        <v>5</v>
      </c>
      <c r="L146">
        <f t="shared" si="44"/>
        <v>3790</v>
      </c>
      <c r="M146">
        <f t="shared" si="45"/>
        <v>192</v>
      </c>
      <c r="N146" s="9" t="e">
        <f>IF(OR($B146&gt;Assump!$E$9,$B146&lt;HVDC_Received_Max),NA(),NI_demand*2)</f>
        <v>#N/A</v>
      </c>
      <c r="O146">
        <f t="shared" si="46"/>
        <v>3982</v>
      </c>
      <c r="R146">
        <f t="shared" si="48"/>
        <v>710</v>
      </c>
      <c r="S146" s="3">
        <f t="shared" si="49"/>
        <v>400</v>
      </c>
      <c r="T146">
        <f t="shared" si="50"/>
        <v>220</v>
      </c>
      <c r="U146">
        <f t="shared" si="51"/>
        <v>180</v>
      </c>
      <c r="V146">
        <f t="shared" si="52"/>
        <v>212</v>
      </c>
      <c r="W146">
        <f t="shared" si="53"/>
        <v>212</v>
      </c>
      <c r="X146">
        <f t="shared" si="54"/>
        <v>400</v>
      </c>
    </row>
    <row r="147" spans="1:24" ht="14.45" x14ac:dyDescent="0.35">
      <c r="A147" s="7">
        <f>B147/(1-Assump!$D$4)</f>
        <v>758.33333333333337</v>
      </c>
      <c r="B147" s="1">
        <v>715</v>
      </c>
      <c r="C147" s="9">
        <f t="shared" si="38"/>
        <v>220</v>
      </c>
      <c r="D147">
        <f t="shared" si="39"/>
        <v>220</v>
      </c>
      <c r="E147">
        <f t="shared" si="40"/>
        <v>217</v>
      </c>
      <c r="F147">
        <f t="shared" si="41"/>
        <v>180</v>
      </c>
      <c r="G147">
        <f t="shared" si="42"/>
        <v>400</v>
      </c>
      <c r="H147">
        <f t="shared" si="43"/>
        <v>20</v>
      </c>
      <c r="I147">
        <f t="shared" si="47"/>
        <v>197</v>
      </c>
      <c r="J147">
        <f t="shared" si="37"/>
        <v>5</v>
      </c>
      <c r="L147">
        <f t="shared" si="44"/>
        <v>3785</v>
      </c>
      <c r="M147">
        <f t="shared" si="45"/>
        <v>197</v>
      </c>
      <c r="N147" s="9" t="e">
        <f>IF(OR($B147&gt;Assump!$E$9,$B147&lt;HVDC_Received_Max),NA(),NI_demand*2)</f>
        <v>#N/A</v>
      </c>
      <c r="O147">
        <f t="shared" si="46"/>
        <v>3982</v>
      </c>
      <c r="R147">
        <f t="shared" si="48"/>
        <v>715</v>
      </c>
      <c r="S147" s="3">
        <f t="shared" si="49"/>
        <v>400</v>
      </c>
      <c r="T147">
        <f t="shared" si="50"/>
        <v>220</v>
      </c>
      <c r="U147">
        <f t="shared" si="51"/>
        <v>180</v>
      </c>
      <c r="V147">
        <f t="shared" si="52"/>
        <v>217</v>
      </c>
      <c r="W147">
        <f t="shared" si="53"/>
        <v>217</v>
      </c>
      <c r="X147">
        <f t="shared" si="54"/>
        <v>400</v>
      </c>
    </row>
    <row r="148" spans="1:24" ht="14.45" x14ac:dyDescent="0.35">
      <c r="A148" s="7">
        <f>B148/(1-Assump!$D$4)</f>
        <v>763.63636363636363</v>
      </c>
      <c r="B148" s="1">
        <v>720</v>
      </c>
      <c r="C148" s="9">
        <f t="shared" si="38"/>
        <v>220</v>
      </c>
      <c r="D148">
        <f t="shared" si="39"/>
        <v>220</v>
      </c>
      <c r="E148">
        <f t="shared" si="40"/>
        <v>222</v>
      </c>
      <c r="F148">
        <f t="shared" si="41"/>
        <v>180</v>
      </c>
      <c r="G148">
        <f t="shared" si="42"/>
        <v>400</v>
      </c>
      <c r="H148">
        <f t="shared" si="43"/>
        <v>20</v>
      </c>
      <c r="I148">
        <f t="shared" si="47"/>
        <v>202</v>
      </c>
      <c r="J148">
        <f t="shared" si="37"/>
        <v>5</v>
      </c>
      <c r="L148">
        <f t="shared" si="44"/>
        <v>3780</v>
      </c>
      <c r="M148">
        <f t="shared" si="45"/>
        <v>202</v>
      </c>
      <c r="N148" s="9" t="e">
        <f>IF(OR($B148&gt;Assump!$E$9,$B148&lt;HVDC_Received_Max),NA(),NI_demand*2)</f>
        <v>#N/A</v>
      </c>
      <c r="O148">
        <f t="shared" si="46"/>
        <v>3982</v>
      </c>
      <c r="R148">
        <f t="shared" si="48"/>
        <v>720</v>
      </c>
      <c r="S148" s="3">
        <f t="shared" si="49"/>
        <v>400</v>
      </c>
      <c r="T148">
        <f t="shared" si="50"/>
        <v>220</v>
      </c>
      <c r="U148">
        <f t="shared" si="51"/>
        <v>180</v>
      </c>
      <c r="V148">
        <f t="shared" si="52"/>
        <v>222</v>
      </c>
      <c r="W148">
        <f t="shared" si="53"/>
        <v>222</v>
      </c>
      <c r="X148">
        <f t="shared" si="54"/>
        <v>400</v>
      </c>
    </row>
    <row r="149" spans="1:24" ht="14.45" x14ac:dyDescent="0.35">
      <c r="A149" s="7">
        <f>B149/(1-Assump!$D$4)</f>
        <v>768.93939393939399</v>
      </c>
      <c r="B149" s="1">
        <v>725</v>
      </c>
      <c r="C149" s="9">
        <f t="shared" si="38"/>
        <v>220</v>
      </c>
      <c r="D149">
        <f t="shared" si="39"/>
        <v>220</v>
      </c>
      <c r="E149">
        <f t="shared" si="40"/>
        <v>227</v>
      </c>
      <c r="F149">
        <f t="shared" si="41"/>
        <v>180</v>
      </c>
      <c r="G149">
        <f t="shared" si="42"/>
        <v>400</v>
      </c>
      <c r="H149">
        <f t="shared" si="43"/>
        <v>20</v>
      </c>
      <c r="I149">
        <f t="shared" si="47"/>
        <v>207</v>
      </c>
      <c r="J149">
        <f t="shared" si="37"/>
        <v>5</v>
      </c>
      <c r="L149">
        <f t="shared" si="44"/>
        <v>3775</v>
      </c>
      <c r="M149">
        <f t="shared" si="45"/>
        <v>207</v>
      </c>
      <c r="N149" s="9" t="e">
        <f>IF(OR($B149&gt;Assump!$E$9,$B149&lt;HVDC_Received_Max),NA(),NI_demand*2)</f>
        <v>#N/A</v>
      </c>
      <c r="O149">
        <f t="shared" si="46"/>
        <v>3982</v>
      </c>
      <c r="R149">
        <f t="shared" si="48"/>
        <v>725</v>
      </c>
      <c r="S149" s="3">
        <f t="shared" si="49"/>
        <v>400</v>
      </c>
      <c r="T149">
        <f t="shared" si="50"/>
        <v>220</v>
      </c>
      <c r="U149">
        <f t="shared" si="51"/>
        <v>180</v>
      </c>
      <c r="V149">
        <f t="shared" si="52"/>
        <v>227</v>
      </c>
      <c r="W149">
        <f t="shared" si="53"/>
        <v>227</v>
      </c>
      <c r="X149">
        <f t="shared" si="54"/>
        <v>400</v>
      </c>
    </row>
    <row r="150" spans="1:24" ht="14.45" x14ac:dyDescent="0.35">
      <c r="A150" s="7">
        <f>B150/(1-Assump!$D$4)</f>
        <v>774.24242424242425</v>
      </c>
      <c r="B150" s="1">
        <v>730</v>
      </c>
      <c r="C150" s="9">
        <f t="shared" si="38"/>
        <v>220</v>
      </c>
      <c r="D150">
        <f t="shared" si="39"/>
        <v>220</v>
      </c>
      <c r="E150">
        <f t="shared" si="40"/>
        <v>232</v>
      </c>
      <c r="F150">
        <f t="shared" si="41"/>
        <v>180</v>
      </c>
      <c r="G150">
        <f t="shared" si="42"/>
        <v>400</v>
      </c>
      <c r="H150">
        <f t="shared" si="43"/>
        <v>20</v>
      </c>
      <c r="I150">
        <f t="shared" si="47"/>
        <v>212</v>
      </c>
      <c r="J150">
        <f t="shared" si="37"/>
        <v>5</v>
      </c>
      <c r="L150">
        <f t="shared" si="44"/>
        <v>3770</v>
      </c>
      <c r="M150">
        <f t="shared" si="45"/>
        <v>212</v>
      </c>
      <c r="N150" s="9" t="e">
        <f>IF(OR($B150&gt;Assump!$E$9,$B150&lt;HVDC_Received_Max),NA(),NI_demand*2)</f>
        <v>#N/A</v>
      </c>
      <c r="O150">
        <f t="shared" si="46"/>
        <v>3982</v>
      </c>
      <c r="R150">
        <f t="shared" si="48"/>
        <v>730</v>
      </c>
      <c r="S150" s="3">
        <f t="shared" si="49"/>
        <v>400</v>
      </c>
      <c r="T150">
        <f t="shared" si="50"/>
        <v>220</v>
      </c>
      <c r="U150">
        <f t="shared" si="51"/>
        <v>180</v>
      </c>
      <c r="V150">
        <f t="shared" si="52"/>
        <v>232</v>
      </c>
      <c r="W150">
        <f t="shared" si="53"/>
        <v>232</v>
      </c>
      <c r="X150">
        <f t="shared" si="54"/>
        <v>400</v>
      </c>
    </row>
    <row r="151" spans="1:24" ht="14.45" x14ac:dyDescent="0.35">
      <c r="A151" s="7">
        <f>B151/(1-Assump!$D$4)</f>
        <v>779.54545454545462</v>
      </c>
      <c r="B151" s="1">
        <v>735</v>
      </c>
      <c r="C151" s="9">
        <f t="shared" si="38"/>
        <v>220</v>
      </c>
      <c r="D151">
        <f t="shared" si="39"/>
        <v>220</v>
      </c>
      <c r="E151">
        <f t="shared" si="40"/>
        <v>237</v>
      </c>
      <c r="F151">
        <f t="shared" si="41"/>
        <v>180</v>
      </c>
      <c r="G151">
        <f t="shared" si="42"/>
        <v>400</v>
      </c>
      <c r="H151">
        <f t="shared" si="43"/>
        <v>20</v>
      </c>
      <c r="I151">
        <f t="shared" si="47"/>
        <v>217</v>
      </c>
      <c r="J151">
        <f t="shared" si="37"/>
        <v>5</v>
      </c>
      <c r="L151">
        <f t="shared" si="44"/>
        <v>3765</v>
      </c>
      <c r="M151">
        <f t="shared" si="45"/>
        <v>217</v>
      </c>
      <c r="N151" s="9" t="e">
        <f>IF(OR($B151&gt;Assump!$E$9,$B151&lt;HVDC_Received_Max),NA(),NI_demand*2)</f>
        <v>#N/A</v>
      </c>
      <c r="O151">
        <f t="shared" si="46"/>
        <v>3982</v>
      </c>
      <c r="R151">
        <f t="shared" si="48"/>
        <v>735</v>
      </c>
      <c r="S151" s="3">
        <f t="shared" si="49"/>
        <v>400</v>
      </c>
      <c r="T151">
        <f t="shared" si="50"/>
        <v>220</v>
      </c>
      <c r="U151">
        <f t="shared" si="51"/>
        <v>180</v>
      </c>
      <c r="V151">
        <f t="shared" si="52"/>
        <v>237</v>
      </c>
      <c r="W151">
        <f t="shared" si="53"/>
        <v>237</v>
      </c>
      <c r="X151">
        <f t="shared" si="54"/>
        <v>400</v>
      </c>
    </row>
    <row r="152" spans="1:24" ht="14.45" x14ac:dyDescent="0.35">
      <c r="A152" s="7">
        <f>B152/(1-Assump!$D$4)</f>
        <v>784.84848484848487</v>
      </c>
      <c r="B152" s="1">
        <v>740</v>
      </c>
      <c r="C152" s="9">
        <f t="shared" si="38"/>
        <v>220</v>
      </c>
      <c r="D152">
        <f t="shared" si="39"/>
        <v>220</v>
      </c>
      <c r="E152">
        <f t="shared" si="40"/>
        <v>242</v>
      </c>
      <c r="F152">
        <f t="shared" si="41"/>
        <v>180</v>
      </c>
      <c r="G152">
        <f t="shared" si="42"/>
        <v>400</v>
      </c>
      <c r="H152">
        <f t="shared" si="43"/>
        <v>20</v>
      </c>
      <c r="I152">
        <f t="shared" si="47"/>
        <v>222</v>
      </c>
      <c r="J152">
        <f t="shared" si="37"/>
        <v>5</v>
      </c>
      <c r="L152">
        <f t="shared" si="44"/>
        <v>3760</v>
      </c>
      <c r="M152">
        <f t="shared" si="45"/>
        <v>222</v>
      </c>
      <c r="N152" s="9" t="e">
        <f>IF(OR($B152&gt;Assump!$E$9,$B152&lt;HVDC_Received_Max),NA(),NI_demand*2)</f>
        <v>#N/A</v>
      </c>
      <c r="O152">
        <f t="shared" si="46"/>
        <v>3982</v>
      </c>
      <c r="R152">
        <f t="shared" si="48"/>
        <v>740</v>
      </c>
      <c r="S152" s="3">
        <f t="shared" si="49"/>
        <v>400</v>
      </c>
      <c r="T152">
        <f t="shared" si="50"/>
        <v>220</v>
      </c>
      <c r="U152">
        <f t="shared" si="51"/>
        <v>180</v>
      </c>
      <c r="V152">
        <f t="shared" si="52"/>
        <v>242</v>
      </c>
      <c r="W152">
        <f t="shared" si="53"/>
        <v>242</v>
      </c>
      <c r="X152">
        <f t="shared" si="54"/>
        <v>400</v>
      </c>
    </row>
    <row r="153" spans="1:24" ht="14.45" x14ac:dyDescent="0.35">
      <c r="A153" s="7">
        <f>B153/(1-Assump!$D$4)</f>
        <v>790.15151515151513</v>
      </c>
      <c r="B153" s="1">
        <v>745</v>
      </c>
      <c r="C153" s="9">
        <f t="shared" si="38"/>
        <v>220</v>
      </c>
      <c r="D153">
        <f t="shared" si="39"/>
        <v>220</v>
      </c>
      <c r="E153">
        <f t="shared" si="40"/>
        <v>247</v>
      </c>
      <c r="F153">
        <f t="shared" si="41"/>
        <v>180</v>
      </c>
      <c r="G153">
        <f t="shared" si="42"/>
        <v>400</v>
      </c>
      <c r="H153">
        <f t="shared" si="43"/>
        <v>20</v>
      </c>
      <c r="I153">
        <f t="shared" si="47"/>
        <v>227</v>
      </c>
      <c r="J153">
        <f t="shared" si="37"/>
        <v>5</v>
      </c>
      <c r="L153">
        <f t="shared" si="44"/>
        <v>3755</v>
      </c>
      <c r="M153">
        <f t="shared" si="45"/>
        <v>227</v>
      </c>
      <c r="N153" s="9" t="e">
        <f>IF(OR($B153&gt;Assump!$E$9,$B153&lt;HVDC_Received_Max),NA(),NI_demand*2)</f>
        <v>#N/A</v>
      </c>
      <c r="O153">
        <f t="shared" si="46"/>
        <v>3982</v>
      </c>
      <c r="R153">
        <f t="shared" si="48"/>
        <v>745</v>
      </c>
      <c r="S153" s="3">
        <f t="shared" si="49"/>
        <v>400</v>
      </c>
      <c r="T153">
        <f t="shared" si="50"/>
        <v>220</v>
      </c>
      <c r="U153">
        <f t="shared" si="51"/>
        <v>180</v>
      </c>
      <c r="V153">
        <f t="shared" si="52"/>
        <v>247</v>
      </c>
      <c r="W153">
        <f t="shared" si="53"/>
        <v>247</v>
      </c>
      <c r="X153">
        <f t="shared" si="54"/>
        <v>400</v>
      </c>
    </row>
    <row r="154" spans="1:24" ht="14.45" x14ac:dyDescent="0.35">
      <c r="A154" s="7">
        <f>B154/(1-Assump!$D$4)</f>
        <v>795.4545454545455</v>
      </c>
      <c r="B154" s="1">
        <v>750</v>
      </c>
      <c r="C154" s="9">
        <f t="shared" si="38"/>
        <v>220</v>
      </c>
      <c r="D154">
        <f t="shared" si="39"/>
        <v>220</v>
      </c>
      <c r="E154">
        <f t="shared" si="40"/>
        <v>252</v>
      </c>
      <c r="F154">
        <f t="shared" si="41"/>
        <v>180</v>
      </c>
      <c r="G154">
        <f t="shared" si="42"/>
        <v>400</v>
      </c>
      <c r="H154">
        <f t="shared" si="43"/>
        <v>20</v>
      </c>
      <c r="I154">
        <f t="shared" si="47"/>
        <v>232</v>
      </c>
      <c r="J154">
        <f t="shared" si="37"/>
        <v>5</v>
      </c>
      <c r="L154">
        <f t="shared" si="44"/>
        <v>3750</v>
      </c>
      <c r="M154">
        <f t="shared" si="45"/>
        <v>232</v>
      </c>
      <c r="N154" s="9" t="e">
        <f>IF(OR($B154&gt;Assump!$E$9,$B154&lt;HVDC_Received_Max),NA(),NI_demand*2)</f>
        <v>#N/A</v>
      </c>
      <c r="O154">
        <f t="shared" si="46"/>
        <v>3982</v>
      </c>
      <c r="R154">
        <f t="shared" si="48"/>
        <v>750</v>
      </c>
      <c r="S154" s="3">
        <f t="shared" si="49"/>
        <v>400</v>
      </c>
      <c r="T154">
        <f t="shared" si="50"/>
        <v>220</v>
      </c>
      <c r="U154">
        <f t="shared" si="51"/>
        <v>180</v>
      </c>
      <c r="V154">
        <f t="shared" si="52"/>
        <v>252</v>
      </c>
      <c r="W154">
        <f t="shared" si="53"/>
        <v>252</v>
      </c>
      <c r="X154">
        <f t="shared" si="54"/>
        <v>400</v>
      </c>
    </row>
    <row r="155" spans="1:24" ht="14.45" x14ac:dyDescent="0.35">
      <c r="A155" s="7">
        <f>B155/(1-Assump!$D$4)</f>
        <v>800.75757575757575</v>
      </c>
      <c r="B155" s="1">
        <v>755</v>
      </c>
      <c r="C155" s="9">
        <f t="shared" si="38"/>
        <v>220</v>
      </c>
      <c r="D155">
        <f t="shared" si="39"/>
        <v>220</v>
      </c>
      <c r="E155">
        <f t="shared" si="40"/>
        <v>257</v>
      </c>
      <c r="F155">
        <f t="shared" si="41"/>
        <v>180</v>
      </c>
      <c r="G155">
        <f t="shared" si="42"/>
        <v>400</v>
      </c>
      <c r="H155">
        <f t="shared" si="43"/>
        <v>20</v>
      </c>
      <c r="I155">
        <f t="shared" si="47"/>
        <v>237</v>
      </c>
      <c r="J155">
        <f t="shared" si="37"/>
        <v>5</v>
      </c>
      <c r="L155">
        <f t="shared" si="44"/>
        <v>3745</v>
      </c>
      <c r="M155">
        <f t="shared" si="45"/>
        <v>237</v>
      </c>
      <c r="N155" s="9" t="e">
        <f>IF(OR($B155&gt;Assump!$E$9,$B155&lt;HVDC_Received_Max),NA(),NI_demand*2)</f>
        <v>#N/A</v>
      </c>
      <c r="O155">
        <f t="shared" si="46"/>
        <v>3982</v>
      </c>
      <c r="R155">
        <f t="shared" si="48"/>
        <v>755</v>
      </c>
      <c r="S155" s="3">
        <f t="shared" si="49"/>
        <v>400</v>
      </c>
      <c r="T155">
        <f t="shared" si="50"/>
        <v>220</v>
      </c>
      <c r="U155">
        <f t="shared" si="51"/>
        <v>180</v>
      </c>
      <c r="V155">
        <f t="shared" si="52"/>
        <v>257</v>
      </c>
      <c r="W155">
        <f t="shared" si="53"/>
        <v>257</v>
      </c>
      <c r="X155">
        <f t="shared" si="54"/>
        <v>400</v>
      </c>
    </row>
    <row r="156" spans="1:24" ht="14.45" x14ac:dyDescent="0.35">
      <c r="A156" s="7">
        <f>B156/(1-Assump!$D$4)</f>
        <v>806.06060606060612</v>
      </c>
      <c r="B156" s="1">
        <v>760</v>
      </c>
      <c r="C156" s="9">
        <f t="shared" si="38"/>
        <v>220</v>
      </c>
      <c r="D156">
        <f t="shared" si="39"/>
        <v>220</v>
      </c>
      <c r="E156">
        <f t="shared" si="40"/>
        <v>262</v>
      </c>
      <c r="F156">
        <f t="shared" si="41"/>
        <v>180</v>
      </c>
      <c r="G156">
        <f t="shared" si="42"/>
        <v>400</v>
      </c>
      <c r="H156">
        <f t="shared" si="43"/>
        <v>20</v>
      </c>
      <c r="I156">
        <f t="shared" si="47"/>
        <v>242</v>
      </c>
      <c r="J156">
        <f t="shared" si="37"/>
        <v>5</v>
      </c>
      <c r="L156">
        <f t="shared" si="44"/>
        <v>3740</v>
      </c>
      <c r="M156">
        <f t="shared" si="45"/>
        <v>242</v>
      </c>
      <c r="N156" s="9" t="e">
        <f>IF(OR($B156&gt;Assump!$E$9,$B156&lt;HVDC_Received_Max),NA(),NI_demand*2)</f>
        <v>#N/A</v>
      </c>
      <c r="O156">
        <f t="shared" si="46"/>
        <v>3982</v>
      </c>
      <c r="R156">
        <f t="shared" si="48"/>
        <v>760</v>
      </c>
      <c r="S156" s="3">
        <f t="shared" si="49"/>
        <v>400</v>
      </c>
      <c r="T156">
        <f t="shared" si="50"/>
        <v>220</v>
      </c>
      <c r="U156">
        <f t="shared" si="51"/>
        <v>180</v>
      </c>
      <c r="V156">
        <f t="shared" si="52"/>
        <v>262</v>
      </c>
      <c r="W156">
        <f t="shared" si="53"/>
        <v>262</v>
      </c>
      <c r="X156">
        <f t="shared" si="54"/>
        <v>400</v>
      </c>
    </row>
    <row r="157" spans="1:24" ht="14.45" x14ac:dyDescent="0.35">
      <c r="A157" s="7">
        <f>B157/(1-Assump!$D$4)</f>
        <v>811.36363636363637</v>
      </c>
      <c r="B157" s="1">
        <v>765</v>
      </c>
      <c r="C157" s="9">
        <f t="shared" si="38"/>
        <v>220</v>
      </c>
      <c r="D157">
        <f t="shared" si="39"/>
        <v>220</v>
      </c>
      <c r="E157">
        <f t="shared" si="40"/>
        <v>267</v>
      </c>
      <c r="F157">
        <f t="shared" si="41"/>
        <v>180</v>
      </c>
      <c r="G157">
        <f t="shared" si="42"/>
        <v>400</v>
      </c>
      <c r="H157">
        <f t="shared" si="43"/>
        <v>20</v>
      </c>
      <c r="I157">
        <f t="shared" si="47"/>
        <v>247</v>
      </c>
      <c r="J157">
        <f t="shared" si="37"/>
        <v>5</v>
      </c>
      <c r="L157">
        <f t="shared" si="44"/>
        <v>3735</v>
      </c>
      <c r="M157">
        <f t="shared" si="45"/>
        <v>247</v>
      </c>
      <c r="N157" s="9" t="e">
        <f>IF(OR($B157&gt;Assump!$E$9,$B157&lt;HVDC_Received_Max),NA(),NI_demand*2)</f>
        <v>#N/A</v>
      </c>
      <c r="O157">
        <f t="shared" si="46"/>
        <v>3982</v>
      </c>
      <c r="R157">
        <f t="shared" si="48"/>
        <v>765</v>
      </c>
      <c r="S157" s="3">
        <f t="shared" si="49"/>
        <v>400</v>
      </c>
      <c r="T157">
        <f t="shared" si="50"/>
        <v>220</v>
      </c>
      <c r="U157">
        <f t="shared" si="51"/>
        <v>180</v>
      </c>
      <c r="V157">
        <f t="shared" si="52"/>
        <v>267</v>
      </c>
      <c r="W157">
        <f t="shared" si="53"/>
        <v>267</v>
      </c>
      <c r="X157">
        <f t="shared" si="54"/>
        <v>400</v>
      </c>
    </row>
    <row r="158" spans="1:24" ht="14.45" x14ac:dyDescent="0.35">
      <c r="A158" s="7">
        <f>B158/(1-Assump!$D$4)</f>
        <v>816.66666666666663</v>
      </c>
      <c r="B158" s="1">
        <v>770</v>
      </c>
      <c r="C158" s="9">
        <f t="shared" si="38"/>
        <v>220</v>
      </c>
      <c r="D158">
        <f t="shared" si="39"/>
        <v>220</v>
      </c>
      <c r="E158">
        <f t="shared" si="40"/>
        <v>272</v>
      </c>
      <c r="F158">
        <f t="shared" si="41"/>
        <v>180</v>
      </c>
      <c r="G158">
        <f t="shared" si="42"/>
        <v>400</v>
      </c>
      <c r="H158">
        <f t="shared" si="43"/>
        <v>20</v>
      </c>
      <c r="I158">
        <f t="shared" si="47"/>
        <v>252</v>
      </c>
      <c r="J158">
        <f t="shared" si="37"/>
        <v>5</v>
      </c>
      <c r="L158">
        <f t="shared" si="44"/>
        <v>3730</v>
      </c>
      <c r="M158">
        <f t="shared" si="45"/>
        <v>252</v>
      </c>
      <c r="N158" s="9" t="e">
        <f>IF(OR($B158&gt;Assump!$E$9,$B158&lt;HVDC_Received_Max),NA(),NI_demand*2)</f>
        <v>#N/A</v>
      </c>
      <c r="O158">
        <f t="shared" si="46"/>
        <v>3982</v>
      </c>
      <c r="R158">
        <f t="shared" si="48"/>
        <v>770</v>
      </c>
      <c r="S158" s="3">
        <f t="shared" si="49"/>
        <v>400</v>
      </c>
      <c r="T158">
        <f t="shared" si="50"/>
        <v>220</v>
      </c>
      <c r="U158">
        <f t="shared" si="51"/>
        <v>180</v>
      </c>
      <c r="V158">
        <f t="shared" si="52"/>
        <v>272</v>
      </c>
      <c r="W158">
        <f t="shared" si="53"/>
        <v>272</v>
      </c>
      <c r="X158">
        <f t="shared" si="54"/>
        <v>400</v>
      </c>
    </row>
    <row r="159" spans="1:24" ht="14.45" x14ac:dyDescent="0.35">
      <c r="A159" s="7">
        <f>B159/(1-Assump!$D$4)</f>
        <v>821.969696969697</v>
      </c>
      <c r="B159" s="1">
        <v>775</v>
      </c>
      <c r="C159" s="9">
        <f t="shared" si="38"/>
        <v>220</v>
      </c>
      <c r="D159">
        <f t="shared" si="39"/>
        <v>220</v>
      </c>
      <c r="E159">
        <f t="shared" si="40"/>
        <v>277</v>
      </c>
      <c r="F159">
        <f t="shared" si="41"/>
        <v>180</v>
      </c>
      <c r="G159">
        <f t="shared" si="42"/>
        <v>400</v>
      </c>
      <c r="H159">
        <f t="shared" si="43"/>
        <v>20</v>
      </c>
      <c r="I159">
        <f t="shared" si="47"/>
        <v>257</v>
      </c>
      <c r="J159">
        <f t="shared" si="37"/>
        <v>5</v>
      </c>
      <c r="L159">
        <f t="shared" si="44"/>
        <v>3725</v>
      </c>
      <c r="M159">
        <f t="shared" si="45"/>
        <v>257</v>
      </c>
      <c r="N159" s="9" t="e">
        <f>IF(OR($B159&gt;Assump!$E$9,$B159&lt;HVDC_Received_Max),NA(),NI_demand*2)</f>
        <v>#N/A</v>
      </c>
      <c r="O159">
        <f t="shared" si="46"/>
        <v>3982</v>
      </c>
      <c r="R159">
        <f t="shared" si="48"/>
        <v>775</v>
      </c>
      <c r="S159" s="3">
        <f t="shared" si="49"/>
        <v>400</v>
      </c>
      <c r="T159">
        <f t="shared" si="50"/>
        <v>220</v>
      </c>
      <c r="U159">
        <f t="shared" si="51"/>
        <v>180</v>
      </c>
      <c r="V159">
        <f t="shared" si="52"/>
        <v>277</v>
      </c>
      <c r="W159">
        <f t="shared" si="53"/>
        <v>277</v>
      </c>
      <c r="X159">
        <f t="shared" si="54"/>
        <v>400</v>
      </c>
    </row>
    <row r="160" spans="1:24" ht="14.45" x14ac:dyDescent="0.35">
      <c r="A160" s="7">
        <f>B160/(1-Assump!$D$4)</f>
        <v>827.27272727272725</v>
      </c>
      <c r="B160" s="1">
        <v>780</v>
      </c>
      <c r="C160" s="9">
        <f t="shared" si="38"/>
        <v>220</v>
      </c>
      <c r="D160">
        <f t="shared" si="39"/>
        <v>220</v>
      </c>
      <c r="E160">
        <f t="shared" si="40"/>
        <v>282</v>
      </c>
      <c r="F160">
        <f t="shared" si="41"/>
        <v>180</v>
      </c>
      <c r="G160">
        <f t="shared" si="42"/>
        <v>400</v>
      </c>
      <c r="H160">
        <f t="shared" si="43"/>
        <v>20</v>
      </c>
      <c r="I160">
        <f t="shared" si="47"/>
        <v>262</v>
      </c>
      <c r="J160">
        <f t="shared" si="37"/>
        <v>5</v>
      </c>
      <c r="L160">
        <f t="shared" si="44"/>
        <v>3720</v>
      </c>
      <c r="M160">
        <f t="shared" si="45"/>
        <v>262</v>
      </c>
      <c r="N160" s="9" t="e">
        <f>IF(OR($B160&gt;Assump!$E$9,$B160&lt;HVDC_Received_Max),NA(),NI_demand*2)</f>
        <v>#N/A</v>
      </c>
      <c r="O160">
        <f t="shared" si="46"/>
        <v>3982</v>
      </c>
      <c r="R160">
        <f t="shared" si="48"/>
        <v>780</v>
      </c>
      <c r="S160" s="3">
        <f t="shared" si="49"/>
        <v>400</v>
      </c>
      <c r="T160">
        <f t="shared" si="50"/>
        <v>220</v>
      </c>
      <c r="U160">
        <f t="shared" si="51"/>
        <v>180</v>
      </c>
      <c r="V160">
        <f t="shared" si="52"/>
        <v>282</v>
      </c>
      <c r="W160">
        <f t="shared" si="53"/>
        <v>282</v>
      </c>
      <c r="X160">
        <f t="shared" si="54"/>
        <v>400</v>
      </c>
    </row>
    <row r="161" spans="1:24" ht="14.45" x14ac:dyDescent="0.35">
      <c r="A161" s="7">
        <f>B161/(1-Assump!$D$4)</f>
        <v>832.57575757575762</v>
      </c>
      <c r="B161" s="1">
        <v>785</v>
      </c>
      <c r="C161" s="9">
        <f t="shared" si="38"/>
        <v>220</v>
      </c>
      <c r="D161">
        <f t="shared" si="39"/>
        <v>220</v>
      </c>
      <c r="E161">
        <f t="shared" si="40"/>
        <v>287</v>
      </c>
      <c r="F161">
        <f t="shared" si="41"/>
        <v>180</v>
      </c>
      <c r="G161">
        <f t="shared" si="42"/>
        <v>400</v>
      </c>
      <c r="H161">
        <f t="shared" si="43"/>
        <v>20</v>
      </c>
      <c r="I161">
        <f t="shared" si="47"/>
        <v>267</v>
      </c>
      <c r="J161">
        <f t="shared" ref="J161:J224" si="55">I161-I160</f>
        <v>5</v>
      </c>
      <c r="L161">
        <f t="shared" si="44"/>
        <v>3715</v>
      </c>
      <c r="M161">
        <f t="shared" si="45"/>
        <v>267</v>
      </c>
      <c r="N161" s="9" t="e">
        <f>IF(OR($B161&gt;Assump!$E$9,$B161&lt;HVDC_Received_Max),NA(),NI_demand*2)</f>
        <v>#N/A</v>
      </c>
      <c r="O161">
        <f t="shared" si="46"/>
        <v>3982</v>
      </c>
      <c r="R161">
        <f t="shared" si="48"/>
        <v>785</v>
      </c>
      <c r="S161" s="3">
        <f t="shared" si="49"/>
        <v>400</v>
      </c>
      <c r="T161">
        <f t="shared" si="50"/>
        <v>220</v>
      </c>
      <c r="U161">
        <f t="shared" si="51"/>
        <v>180</v>
      </c>
      <c r="V161">
        <f t="shared" si="52"/>
        <v>287</v>
      </c>
      <c r="W161">
        <f t="shared" si="53"/>
        <v>287</v>
      </c>
      <c r="X161">
        <f t="shared" si="54"/>
        <v>400</v>
      </c>
    </row>
    <row r="162" spans="1:24" ht="14.45" x14ac:dyDescent="0.35">
      <c r="A162" s="7">
        <f>B162/(1-Assump!$D$4)</f>
        <v>837.87878787878788</v>
      </c>
      <c r="B162" s="1">
        <v>790</v>
      </c>
      <c r="C162" s="9">
        <f t="shared" si="38"/>
        <v>220</v>
      </c>
      <c r="D162">
        <f t="shared" si="39"/>
        <v>220</v>
      </c>
      <c r="E162">
        <f t="shared" si="40"/>
        <v>292</v>
      </c>
      <c r="F162">
        <f t="shared" si="41"/>
        <v>180</v>
      </c>
      <c r="G162">
        <f t="shared" si="42"/>
        <v>400</v>
      </c>
      <c r="H162">
        <f t="shared" si="43"/>
        <v>20</v>
      </c>
      <c r="I162">
        <f t="shared" si="47"/>
        <v>272</v>
      </c>
      <c r="J162">
        <f t="shared" si="55"/>
        <v>5</v>
      </c>
      <c r="L162">
        <f t="shared" si="44"/>
        <v>3710</v>
      </c>
      <c r="M162">
        <f t="shared" si="45"/>
        <v>272</v>
      </c>
      <c r="N162" s="9" t="e">
        <f>IF(OR($B162&gt;Assump!$E$9,$B162&lt;HVDC_Received_Max),NA(),NI_demand*2)</f>
        <v>#N/A</v>
      </c>
      <c r="O162">
        <f t="shared" si="46"/>
        <v>3982</v>
      </c>
      <c r="R162">
        <f t="shared" si="48"/>
        <v>790</v>
      </c>
      <c r="S162" s="3">
        <f t="shared" si="49"/>
        <v>400</v>
      </c>
      <c r="T162">
        <f t="shared" si="50"/>
        <v>220</v>
      </c>
      <c r="U162">
        <f t="shared" si="51"/>
        <v>180</v>
      </c>
      <c r="V162">
        <f t="shared" si="52"/>
        <v>292</v>
      </c>
      <c r="W162">
        <f t="shared" si="53"/>
        <v>292</v>
      </c>
      <c r="X162">
        <f t="shared" si="54"/>
        <v>400</v>
      </c>
    </row>
    <row r="163" spans="1:24" ht="14.45" x14ac:dyDescent="0.35">
      <c r="A163" s="7">
        <f>B163/(1-Assump!$D$4)</f>
        <v>843.18181818181824</v>
      </c>
      <c r="B163" s="1">
        <v>795</v>
      </c>
      <c r="C163" s="9">
        <f t="shared" si="38"/>
        <v>220</v>
      </c>
      <c r="D163">
        <f t="shared" si="39"/>
        <v>220</v>
      </c>
      <c r="E163">
        <f t="shared" si="40"/>
        <v>297</v>
      </c>
      <c r="F163">
        <f t="shared" si="41"/>
        <v>180</v>
      </c>
      <c r="G163">
        <f t="shared" si="42"/>
        <v>400</v>
      </c>
      <c r="H163">
        <f t="shared" si="43"/>
        <v>20</v>
      </c>
      <c r="I163">
        <f t="shared" si="47"/>
        <v>277</v>
      </c>
      <c r="J163">
        <f t="shared" si="55"/>
        <v>5</v>
      </c>
      <c r="L163">
        <f t="shared" si="44"/>
        <v>3705</v>
      </c>
      <c r="M163">
        <f t="shared" si="45"/>
        <v>277</v>
      </c>
      <c r="N163" s="9" t="e">
        <f>IF(OR($B163&gt;Assump!$E$9,$B163&lt;HVDC_Received_Max),NA(),NI_demand*2)</f>
        <v>#N/A</v>
      </c>
      <c r="O163">
        <f t="shared" si="46"/>
        <v>3982</v>
      </c>
      <c r="R163">
        <f t="shared" si="48"/>
        <v>795</v>
      </c>
      <c r="S163" s="3">
        <f t="shared" si="49"/>
        <v>400</v>
      </c>
      <c r="T163">
        <f t="shared" si="50"/>
        <v>220</v>
      </c>
      <c r="U163">
        <f t="shared" si="51"/>
        <v>180</v>
      </c>
      <c r="V163">
        <f t="shared" si="52"/>
        <v>297</v>
      </c>
      <c r="W163">
        <f t="shared" si="53"/>
        <v>297</v>
      </c>
      <c r="X163">
        <f t="shared" si="54"/>
        <v>400</v>
      </c>
    </row>
    <row r="164" spans="1:24" ht="14.45" x14ac:dyDescent="0.35">
      <c r="A164" s="7">
        <f>B164/(1-Assump!$D$4)</f>
        <v>848.4848484848485</v>
      </c>
      <c r="B164" s="1">
        <v>800</v>
      </c>
      <c r="C164" s="9">
        <f t="shared" si="38"/>
        <v>220</v>
      </c>
      <c r="D164">
        <f t="shared" si="39"/>
        <v>220</v>
      </c>
      <c r="E164">
        <f t="shared" si="40"/>
        <v>302</v>
      </c>
      <c r="F164">
        <f t="shared" si="41"/>
        <v>180</v>
      </c>
      <c r="G164">
        <f t="shared" si="42"/>
        <v>400</v>
      </c>
      <c r="H164">
        <f t="shared" si="43"/>
        <v>20</v>
      </c>
      <c r="I164">
        <f t="shared" si="47"/>
        <v>282</v>
      </c>
      <c r="J164">
        <f t="shared" si="55"/>
        <v>5</v>
      </c>
      <c r="L164">
        <f t="shared" si="44"/>
        <v>3700</v>
      </c>
      <c r="M164">
        <f t="shared" si="45"/>
        <v>282</v>
      </c>
      <c r="N164" s="9" t="e">
        <f>IF(OR($B164&gt;Assump!$E$9,$B164&lt;HVDC_Received_Max),NA(),NI_demand*2)</f>
        <v>#N/A</v>
      </c>
      <c r="O164">
        <f t="shared" si="46"/>
        <v>3982</v>
      </c>
      <c r="R164">
        <f t="shared" si="48"/>
        <v>800</v>
      </c>
      <c r="S164" s="3">
        <f t="shared" si="49"/>
        <v>400</v>
      </c>
      <c r="T164">
        <f t="shared" si="50"/>
        <v>220</v>
      </c>
      <c r="U164">
        <f t="shared" si="51"/>
        <v>180</v>
      </c>
      <c r="V164">
        <f t="shared" si="52"/>
        <v>302</v>
      </c>
      <c r="W164">
        <f t="shared" si="53"/>
        <v>302</v>
      </c>
      <c r="X164">
        <f t="shared" si="54"/>
        <v>400</v>
      </c>
    </row>
    <row r="165" spans="1:24" ht="14.45" x14ac:dyDescent="0.35">
      <c r="A165" s="7">
        <f>B165/(1-Assump!$D$4)</f>
        <v>853.78787878787875</v>
      </c>
      <c r="B165" s="1">
        <v>805</v>
      </c>
      <c r="C165" s="9">
        <f t="shared" si="38"/>
        <v>220</v>
      </c>
      <c r="D165">
        <f t="shared" si="39"/>
        <v>220</v>
      </c>
      <c r="E165">
        <f t="shared" si="40"/>
        <v>307</v>
      </c>
      <c r="F165">
        <f t="shared" si="41"/>
        <v>180</v>
      </c>
      <c r="G165">
        <f t="shared" si="42"/>
        <v>400</v>
      </c>
      <c r="H165">
        <f t="shared" si="43"/>
        <v>20</v>
      </c>
      <c r="I165">
        <f t="shared" si="47"/>
        <v>287</v>
      </c>
      <c r="J165">
        <f t="shared" si="55"/>
        <v>5</v>
      </c>
      <c r="L165">
        <f t="shared" si="44"/>
        <v>3695</v>
      </c>
      <c r="M165">
        <f t="shared" si="45"/>
        <v>287</v>
      </c>
      <c r="N165" s="9" t="e">
        <f>IF(OR($B165&gt;Assump!$E$9,$B165&lt;HVDC_Received_Max),NA(),NI_demand*2)</f>
        <v>#N/A</v>
      </c>
      <c r="O165">
        <f t="shared" si="46"/>
        <v>3982</v>
      </c>
      <c r="R165">
        <f t="shared" si="48"/>
        <v>805</v>
      </c>
      <c r="S165" s="3">
        <f t="shared" si="49"/>
        <v>400</v>
      </c>
      <c r="T165">
        <f t="shared" si="50"/>
        <v>220</v>
      </c>
      <c r="U165">
        <f t="shared" si="51"/>
        <v>180</v>
      </c>
      <c r="V165">
        <f t="shared" si="52"/>
        <v>307</v>
      </c>
      <c r="W165">
        <f t="shared" si="53"/>
        <v>307</v>
      </c>
      <c r="X165">
        <f t="shared" si="54"/>
        <v>400</v>
      </c>
    </row>
    <row r="166" spans="1:24" ht="14.45" x14ac:dyDescent="0.35">
      <c r="A166" s="7">
        <f>B166/(1-Assump!$D$4)</f>
        <v>859.09090909090912</v>
      </c>
      <c r="B166" s="1">
        <v>810</v>
      </c>
      <c r="C166" s="9">
        <f t="shared" si="38"/>
        <v>220</v>
      </c>
      <c r="D166">
        <f t="shared" si="39"/>
        <v>220</v>
      </c>
      <c r="E166">
        <f t="shared" si="40"/>
        <v>312</v>
      </c>
      <c r="F166">
        <f t="shared" si="41"/>
        <v>180</v>
      </c>
      <c r="G166">
        <f t="shared" si="42"/>
        <v>400</v>
      </c>
      <c r="H166">
        <f t="shared" si="43"/>
        <v>20</v>
      </c>
      <c r="I166">
        <f t="shared" si="47"/>
        <v>292</v>
      </c>
      <c r="J166">
        <f t="shared" si="55"/>
        <v>5</v>
      </c>
      <c r="L166">
        <f t="shared" si="44"/>
        <v>3690</v>
      </c>
      <c r="M166">
        <f t="shared" si="45"/>
        <v>292</v>
      </c>
      <c r="N166" s="9" t="e">
        <f>IF(OR($B166&gt;Assump!$E$9,$B166&lt;HVDC_Received_Max),NA(),NI_demand*2)</f>
        <v>#N/A</v>
      </c>
      <c r="O166">
        <f t="shared" si="46"/>
        <v>3982</v>
      </c>
      <c r="R166">
        <f t="shared" si="48"/>
        <v>810</v>
      </c>
      <c r="S166" s="3">
        <f t="shared" si="49"/>
        <v>400</v>
      </c>
      <c r="T166">
        <f t="shared" si="50"/>
        <v>220</v>
      </c>
      <c r="U166">
        <f t="shared" si="51"/>
        <v>180</v>
      </c>
      <c r="V166">
        <f t="shared" si="52"/>
        <v>312</v>
      </c>
      <c r="W166">
        <f t="shared" si="53"/>
        <v>312</v>
      </c>
      <c r="X166">
        <f t="shared" si="54"/>
        <v>400</v>
      </c>
    </row>
    <row r="167" spans="1:24" x14ac:dyDescent="0.25">
      <c r="A167" s="7">
        <f>B167/(1-Assump!$D$4)</f>
        <v>864.39393939393938</v>
      </c>
      <c r="B167" s="1">
        <v>815</v>
      </c>
      <c r="C167" s="9">
        <f t="shared" si="38"/>
        <v>220</v>
      </c>
      <c r="D167">
        <f t="shared" si="39"/>
        <v>220</v>
      </c>
      <c r="E167">
        <f t="shared" si="40"/>
        <v>317</v>
      </c>
      <c r="F167">
        <f t="shared" si="41"/>
        <v>180</v>
      </c>
      <c r="G167">
        <f t="shared" si="42"/>
        <v>400</v>
      </c>
      <c r="H167">
        <f t="shared" si="43"/>
        <v>20</v>
      </c>
      <c r="I167">
        <f t="shared" si="47"/>
        <v>297</v>
      </c>
      <c r="J167">
        <f t="shared" si="55"/>
        <v>5</v>
      </c>
      <c r="L167">
        <f t="shared" si="44"/>
        <v>3685</v>
      </c>
      <c r="M167">
        <f t="shared" si="45"/>
        <v>297</v>
      </c>
      <c r="N167" s="9" t="e">
        <f>IF(OR($B167&gt;Assump!$E$9,$B167&lt;HVDC_Received_Max),NA(),NI_demand*2)</f>
        <v>#N/A</v>
      </c>
      <c r="O167">
        <f t="shared" si="46"/>
        <v>3982</v>
      </c>
      <c r="R167">
        <f t="shared" si="48"/>
        <v>815</v>
      </c>
      <c r="S167" s="3">
        <f t="shared" si="49"/>
        <v>400</v>
      </c>
      <c r="T167">
        <f t="shared" si="50"/>
        <v>220</v>
      </c>
      <c r="U167">
        <f t="shared" si="51"/>
        <v>180</v>
      </c>
      <c r="V167">
        <f t="shared" si="52"/>
        <v>317</v>
      </c>
      <c r="W167">
        <f t="shared" si="53"/>
        <v>317</v>
      </c>
      <c r="X167">
        <f t="shared" si="54"/>
        <v>400</v>
      </c>
    </row>
    <row r="168" spans="1:24" x14ac:dyDescent="0.25">
      <c r="A168" s="7">
        <f>B168/(1-Assump!$D$4)</f>
        <v>869.69696969696975</v>
      </c>
      <c r="B168" s="1">
        <v>820</v>
      </c>
      <c r="C168" s="9">
        <f t="shared" si="38"/>
        <v>220</v>
      </c>
      <c r="D168">
        <f t="shared" si="39"/>
        <v>220</v>
      </c>
      <c r="E168">
        <f t="shared" si="40"/>
        <v>322</v>
      </c>
      <c r="F168">
        <f t="shared" si="41"/>
        <v>180</v>
      </c>
      <c r="G168">
        <f t="shared" si="42"/>
        <v>400</v>
      </c>
      <c r="H168">
        <f t="shared" si="43"/>
        <v>20</v>
      </c>
      <c r="I168">
        <f t="shared" si="47"/>
        <v>302</v>
      </c>
      <c r="J168">
        <f t="shared" si="55"/>
        <v>5</v>
      </c>
      <c r="L168">
        <f t="shared" si="44"/>
        <v>3680</v>
      </c>
      <c r="M168">
        <f t="shared" si="45"/>
        <v>302</v>
      </c>
      <c r="N168" s="9" t="e">
        <f>IF(OR($B168&gt;Assump!$E$9,$B168&lt;HVDC_Received_Max),NA(),NI_demand*2)</f>
        <v>#N/A</v>
      </c>
      <c r="O168">
        <f t="shared" si="46"/>
        <v>3982</v>
      </c>
      <c r="R168">
        <f t="shared" si="48"/>
        <v>820</v>
      </c>
      <c r="S168" s="3">
        <f t="shared" si="49"/>
        <v>400</v>
      </c>
      <c r="T168">
        <f t="shared" si="50"/>
        <v>220</v>
      </c>
      <c r="U168">
        <f t="shared" si="51"/>
        <v>180</v>
      </c>
      <c r="V168">
        <f t="shared" si="52"/>
        <v>322</v>
      </c>
      <c r="W168">
        <f t="shared" si="53"/>
        <v>322</v>
      </c>
      <c r="X168">
        <f t="shared" si="54"/>
        <v>400</v>
      </c>
    </row>
    <row r="169" spans="1:24" x14ac:dyDescent="0.25">
      <c r="A169" s="7">
        <f>B169/(1-Assump!$D$4)</f>
        <v>875</v>
      </c>
      <c r="B169" s="1">
        <v>825</v>
      </c>
      <c r="C169" s="9">
        <f t="shared" si="38"/>
        <v>220</v>
      </c>
      <c r="D169">
        <f t="shared" si="39"/>
        <v>220</v>
      </c>
      <c r="E169">
        <f t="shared" si="40"/>
        <v>327</v>
      </c>
      <c r="F169">
        <f t="shared" si="41"/>
        <v>180</v>
      </c>
      <c r="G169">
        <f t="shared" si="42"/>
        <v>400</v>
      </c>
      <c r="H169">
        <f t="shared" si="43"/>
        <v>20</v>
      </c>
      <c r="I169">
        <f t="shared" si="47"/>
        <v>307</v>
      </c>
      <c r="J169">
        <f t="shared" si="55"/>
        <v>5</v>
      </c>
      <c r="L169">
        <f t="shared" si="44"/>
        <v>3675</v>
      </c>
      <c r="M169">
        <f t="shared" si="45"/>
        <v>307</v>
      </c>
      <c r="N169" s="9" t="e">
        <f>IF(OR($B169&gt;Assump!$E$9,$B169&lt;HVDC_Received_Max),NA(),NI_demand*2)</f>
        <v>#N/A</v>
      </c>
      <c r="O169">
        <f t="shared" si="46"/>
        <v>3982</v>
      </c>
      <c r="R169">
        <f t="shared" si="48"/>
        <v>825</v>
      </c>
      <c r="S169" s="3">
        <f t="shared" si="49"/>
        <v>400</v>
      </c>
      <c r="T169">
        <f t="shared" si="50"/>
        <v>220</v>
      </c>
      <c r="U169">
        <f t="shared" si="51"/>
        <v>180</v>
      </c>
      <c r="V169">
        <f t="shared" si="52"/>
        <v>327</v>
      </c>
      <c r="W169">
        <f t="shared" si="53"/>
        <v>327</v>
      </c>
      <c r="X169">
        <f t="shared" si="54"/>
        <v>400</v>
      </c>
    </row>
    <row r="170" spans="1:24" x14ac:dyDescent="0.25">
      <c r="A170" s="7">
        <f>B170/(1-Assump!$D$4)</f>
        <v>880.30303030303037</v>
      </c>
      <c r="B170" s="1">
        <v>830</v>
      </c>
      <c r="C170" s="9">
        <f t="shared" si="38"/>
        <v>220</v>
      </c>
      <c r="D170">
        <f t="shared" si="39"/>
        <v>220</v>
      </c>
      <c r="E170">
        <f t="shared" si="40"/>
        <v>332</v>
      </c>
      <c r="F170">
        <f t="shared" si="41"/>
        <v>180</v>
      </c>
      <c r="G170">
        <f t="shared" si="42"/>
        <v>400</v>
      </c>
      <c r="H170">
        <f t="shared" si="43"/>
        <v>20</v>
      </c>
      <c r="I170">
        <f t="shared" si="47"/>
        <v>312</v>
      </c>
      <c r="J170">
        <f t="shared" si="55"/>
        <v>5</v>
      </c>
      <c r="L170">
        <f t="shared" si="44"/>
        <v>3670</v>
      </c>
      <c r="M170">
        <f t="shared" si="45"/>
        <v>312</v>
      </c>
      <c r="N170" s="9" t="e">
        <f>IF(OR($B170&gt;Assump!$E$9,$B170&lt;HVDC_Received_Max),NA(),NI_demand*2)</f>
        <v>#N/A</v>
      </c>
      <c r="O170">
        <f t="shared" si="46"/>
        <v>3982</v>
      </c>
      <c r="R170">
        <f t="shared" si="48"/>
        <v>830</v>
      </c>
      <c r="S170" s="3">
        <f t="shared" si="49"/>
        <v>400</v>
      </c>
      <c r="T170">
        <f t="shared" si="50"/>
        <v>220</v>
      </c>
      <c r="U170">
        <f t="shared" si="51"/>
        <v>180</v>
      </c>
      <c r="V170">
        <f t="shared" si="52"/>
        <v>332</v>
      </c>
      <c r="W170">
        <f t="shared" si="53"/>
        <v>332</v>
      </c>
      <c r="X170">
        <f t="shared" si="54"/>
        <v>400</v>
      </c>
    </row>
    <row r="171" spans="1:24" x14ac:dyDescent="0.25">
      <c r="A171" s="7">
        <f>B171/(1-Assump!$D$4)</f>
        <v>885.60606060606062</v>
      </c>
      <c r="B171" s="1">
        <v>835</v>
      </c>
      <c r="C171" s="9">
        <f t="shared" si="38"/>
        <v>220</v>
      </c>
      <c r="D171">
        <f t="shared" si="39"/>
        <v>220</v>
      </c>
      <c r="E171">
        <f t="shared" si="40"/>
        <v>337</v>
      </c>
      <c r="F171">
        <f t="shared" si="41"/>
        <v>180</v>
      </c>
      <c r="G171">
        <f t="shared" si="42"/>
        <v>400</v>
      </c>
      <c r="H171">
        <f t="shared" si="43"/>
        <v>20</v>
      </c>
      <c r="I171">
        <f t="shared" si="47"/>
        <v>317</v>
      </c>
      <c r="J171">
        <f t="shared" si="55"/>
        <v>5</v>
      </c>
      <c r="L171">
        <f t="shared" si="44"/>
        <v>3665</v>
      </c>
      <c r="M171">
        <f t="shared" si="45"/>
        <v>317</v>
      </c>
      <c r="N171" s="9" t="e">
        <f>IF(OR($B171&gt;Assump!$E$9,$B171&lt;HVDC_Received_Max),NA(),NI_demand*2)</f>
        <v>#N/A</v>
      </c>
      <c r="O171">
        <f t="shared" si="46"/>
        <v>3982</v>
      </c>
      <c r="R171">
        <f t="shared" si="48"/>
        <v>835</v>
      </c>
      <c r="S171" s="3">
        <f t="shared" si="49"/>
        <v>400</v>
      </c>
      <c r="T171">
        <f t="shared" si="50"/>
        <v>220</v>
      </c>
      <c r="U171">
        <f t="shared" si="51"/>
        <v>180</v>
      </c>
      <c r="V171">
        <f t="shared" si="52"/>
        <v>337</v>
      </c>
      <c r="W171">
        <f t="shared" si="53"/>
        <v>337</v>
      </c>
      <c r="X171">
        <f t="shared" si="54"/>
        <v>400</v>
      </c>
    </row>
    <row r="172" spans="1:24" x14ac:dyDescent="0.25">
      <c r="A172" s="7">
        <f>B172/(1-Assump!$D$4)</f>
        <v>890.90909090909088</v>
      </c>
      <c r="B172" s="1">
        <v>840</v>
      </c>
      <c r="C172" s="9">
        <f t="shared" si="38"/>
        <v>220</v>
      </c>
      <c r="D172">
        <f t="shared" si="39"/>
        <v>220</v>
      </c>
      <c r="E172">
        <f t="shared" si="40"/>
        <v>342</v>
      </c>
      <c r="F172">
        <f t="shared" si="41"/>
        <v>180</v>
      </c>
      <c r="G172">
        <f t="shared" si="42"/>
        <v>400</v>
      </c>
      <c r="H172">
        <f t="shared" si="43"/>
        <v>20</v>
      </c>
      <c r="I172">
        <f t="shared" si="47"/>
        <v>322</v>
      </c>
      <c r="J172">
        <f t="shared" si="55"/>
        <v>5</v>
      </c>
      <c r="L172">
        <f t="shared" si="44"/>
        <v>3660</v>
      </c>
      <c r="M172">
        <f t="shared" si="45"/>
        <v>322</v>
      </c>
      <c r="N172" s="9" t="e">
        <f>IF(OR($B172&gt;Assump!$E$9,$B172&lt;HVDC_Received_Max),NA(),NI_demand*2)</f>
        <v>#N/A</v>
      </c>
      <c r="O172">
        <f t="shared" si="46"/>
        <v>3982</v>
      </c>
      <c r="R172">
        <f t="shared" si="48"/>
        <v>840</v>
      </c>
      <c r="S172" s="3">
        <f t="shared" si="49"/>
        <v>400</v>
      </c>
      <c r="T172">
        <f t="shared" si="50"/>
        <v>220</v>
      </c>
      <c r="U172">
        <f t="shared" si="51"/>
        <v>180</v>
      </c>
      <c r="V172">
        <f t="shared" si="52"/>
        <v>342</v>
      </c>
      <c r="W172">
        <f t="shared" si="53"/>
        <v>342</v>
      </c>
      <c r="X172">
        <f t="shared" si="54"/>
        <v>400</v>
      </c>
    </row>
    <row r="173" spans="1:24" x14ac:dyDescent="0.25">
      <c r="A173" s="7">
        <f>B173/(1-Assump!$D$4)</f>
        <v>896.21212121212125</v>
      </c>
      <c r="B173" s="1">
        <v>845</v>
      </c>
      <c r="C173" s="9">
        <f t="shared" si="38"/>
        <v>220</v>
      </c>
      <c r="D173">
        <f t="shared" si="39"/>
        <v>220</v>
      </c>
      <c r="E173">
        <f t="shared" si="40"/>
        <v>347</v>
      </c>
      <c r="F173">
        <f t="shared" si="41"/>
        <v>180</v>
      </c>
      <c r="G173">
        <f t="shared" si="42"/>
        <v>400</v>
      </c>
      <c r="H173">
        <f t="shared" si="43"/>
        <v>20</v>
      </c>
      <c r="I173">
        <f t="shared" si="47"/>
        <v>327</v>
      </c>
      <c r="J173">
        <f t="shared" si="55"/>
        <v>5</v>
      </c>
      <c r="L173">
        <f t="shared" si="44"/>
        <v>3655</v>
      </c>
      <c r="M173">
        <f t="shared" si="45"/>
        <v>327</v>
      </c>
      <c r="N173" s="9" t="e">
        <f>IF(OR($B173&gt;Assump!$E$9,$B173&lt;HVDC_Received_Max),NA(),NI_demand*2)</f>
        <v>#N/A</v>
      </c>
      <c r="O173">
        <f t="shared" si="46"/>
        <v>3982</v>
      </c>
      <c r="R173">
        <f t="shared" si="48"/>
        <v>845</v>
      </c>
      <c r="S173" s="3">
        <f t="shared" si="49"/>
        <v>400</v>
      </c>
      <c r="T173">
        <f t="shared" si="50"/>
        <v>220</v>
      </c>
      <c r="U173">
        <f t="shared" si="51"/>
        <v>180</v>
      </c>
      <c r="V173">
        <f t="shared" si="52"/>
        <v>347</v>
      </c>
      <c r="W173">
        <f t="shared" si="53"/>
        <v>347</v>
      </c>
      <c r="X173">
        <f t="shared" si="54"/>
        <v>400</v>
      </c>
    </row>
    <row r="174" spans="1:24" x14ac:dyDescent="0.25">
      <c r="A174" s="7">
        <f>B174/(1-Assump!$D$4)</f>
        <v>901.5151515151515</v>
      </c>
      <c r="B174" s="1">
        <v>850</v>
      </c>
      <c r="C174" s="9">
        <f t="shared" si="38"/>
        <v>220</v>
      </c>
      <c r="D174">
        <f t="shared" si="39"/>
        <v>220</v>
      </c>
      <c r="E174">
        <f t="shared" si="40"/>
        <v>352</v>
      </c>
      <c r="F174">
        <f t="shared" si="41"/>
        <v>180</v>
      </c>
      <c r="G174">
        <f t="shared" si="42"/>
        <v>400</v>
      </c>
      <c r="H174">
        <f t="shared" si="43"/>
        <v>20</v>
      </c>
      <c r="I174">
        <f t="shared" si="47"/>
        <v>332</v>
      </c>
      <c r="J174">
        <f t="shared" si="55"/>
        <v>5</v>
      </c>
      <c r="L174">
        <f t="shared" si="44"/>
        <v>3650</v>
      </c>
      <c r="M174">
        <f t="shared" si="45"/>
        <v>332</v>
      </c>
      <c r="N174" s="9" t="e">
        <f>IF(OR($B174&gt;Assump!$E$9,$B174&lt;HVDC_Received_Max),NA(),NI_demand*2)</f>
        <v>#N/A</v>
      </c>
      <c r="O174">
        <f t="shared" si="46"/>
        <v>3982</v>
      </c>
      <c r="R174">
        <f t="shared" si="48"/>
        <v>850</v>
      </c>
      <c r="S174" s="3">
        <f t="shared" si="49"/>
        <v>400</v>
      </c>
      <c r="T174">
        <f t="shared" si="50"/>
        <v>220</v>
      </c>
      <c r="U174">
        <f t="shared" si="51"/>
        <v>180</v>
      </c>
      <c r="V174">
        <f t="shared" si="52"/>
        <v>352</v>
      </c>
      <c r="W174">
        <f t="shared" si="53"/>
        <v>352</v>
      </c>
      <c r="X174">
        <f t="shared" si="54"/>
        <v>400</v>
      </c>
    </row>
    <row r="175" spans="1:24" x14ac:dyDescent="0.25">
      <c r="A175" s="7">
        <f>B175/(1-Assump!$D$4)</f>
        <v>906.81818181818187</v>
      </c>
      <c r="B175" s="1">
        <v>855</v>
      </c>
      <c r="C175" s="9">
        <f t="shared" si="38"/>
        <v>220</v>
      </c>
      <c r="D175">
        <f t="shared" si="39"/>
        <v>220</v>
      </c>
      <c r="E175">
        <f t="shared" si="40"/>
        <v>357</v>
      </c>
      <c r="F175">
        <f t="shared" si="41"/>
        <v>180</v>
      </c>
      <c r="G175">
        <f t="shared" si="42"/>
        <v>400</v>
      </c>
      <c r="H175">
        <f t="shared" si="43"/>
        <v>20</v>
      </c>
      <c r="I175">
        <f t="shared" si="47"/>
        <v>337</v>
      </c>
      <c r="J175">
        <f t="shared" si="55"/>
        <v>5</v>
      </c>
      <c r="L175">
        <f t="shared" si="44"/>
        <v>3645</v>
      </c>
      <c r="M175">
        <f t="shared" si="45"/>
        <v>337</v>
      </c>
      <c r="N175" s="9" t="e">
        <f>IF(OR($B175&gt;Assump!$E$9,$B175&lt;HVDC_Received_Max),NA(),NI_demand*2)</f>
        <v>#N/A</v>
      </c>
      <c r="O175">
        <f t="shared" si="46"/>
        <v>3982</v>
      </c>
      <c r="R175">
        <f t="shared" si="48"/>
        <v>855</v>
      </c>
      <c r="S175" s="3">
        <f t="shared" si="49"/>
        <v>400</v>
      </c>
      <c r="T175">
        <f t="shared" si="50"/>
        <v>220</v>
      </c>
      <c r="U175">
        <f t="shared" si="51"/>
        <v>180</v>
      </c>
      <c r="V175">
        <f t="shared" si="52"/>
        <v>357</v>
      </c>
      <c r="W175">
        <f t="shared" si="53"/>
        <v>357</v>
      </c>
      <c r="X175">
        <f t="shared" si="54"/>
        <v>400</v>
      </c>
    </row>
    <row r="176" spans="1:24" x14ac:dyDescent="0.25">
      <c r="A176" s="7">
        <f>B176/(1-Assump!$D$4)</f>
        <v>912.12121212121212</v>
      </c>
      <c r="B176" s="1">
        <v>860</v>
      </c>
      <c r="C176" s="9">
        <f t="shared" si="38"/>
        <v>220</v>
      </c>
      <c r="D176">
        <f t="shared" si="39"/>
        <v>220</v>
      </c>
      <c r="E176">
        <f t="shared" si="40"/>
        <v>362</v>
      </c>
      <c r="F176">
        <f t="shared" si="41"/>
        <v>180</v>
      </c>
      <c r="G176">
        <f t="shared" si="42"/>
        <v>400</v>
      </c>
      <c r="H176">
        <f t="shared" si="43"/>
        <v>20</v>
      </c>
      <c r="I176">
        <f t="shared" si="47"/>
        <v>342</v>
      </c>
      <c r="J176">
        <f t="shared" si="55"/>
        <v>5</v>
      </c>
      <c r="L176">
        <f t="shared" si="44"/>
        <v>3640</v>
      </c>
      <c r="M176">
        <f t="shared" si="45"/>
        <v>342</v>
      </c>
      <c r="N176" s="9" t="e">
        <f>IF(OR($B176&gt;Assump!$E$9,$B176&lt;HVDC_Received_Max),NA(),NI_demand*2)</f>
        <v>#N/A</v>
      </c>
      <c r="O176">
        <f t="shared" si="46"/>
        <v>3982</v>
      </c>
      <c r="R176">
        <f t="shared" si="48"/>
        <v>860</v>
      </c>
      <c r="S176" s="3">
        <f t="shared" si="49"/>
        <v>400</v>
      </c>
      <c r="T176">
        <f t="shared" si="50"/>
        <v>220</v>
      </c>
      <c r="U176">
        <f t="shared" si="51"/>
        <v>180</v>
      </c>
      <c r="V176">
        <f t="shared" si="52"/>
        <v>362</v>
      </c>
      <c r="W176">
        <f t="shared" si="53"/>
        <v>362</v>
      </c>
      <c r="X176">
        <f t="shared" si="54"/>
        <v>400</v>
      </c>
    </row>
    <row r="177" spans="1:24" x14ac:dyDescent="0.25">
      <c r="A177" s="7">
        <f>B177/(1-Assump!$D$4)</f>
        <v>917.42424242424249</v>
      </c>
      <c r="B177" s="1">
        <v>865</v>
      </c>
      <c r="C177" s="9">
        <f t="shared" si="38"/>
        <v>220</v>
      </c>
      <c r="D177">
        <f t="shared" si="39"/>
        <v>220</v>
      </c>
      <c r="E177">
        <f t="shared" si="40"/>
        <v>367</v>
      </c>
      <c r="F177">
        <f t="shared" si="41"/>
        <v>180</v>
      </c>
      <c r="G177">
        <f t="shared" si="42"/>
        <v>400</v>
      </c>
      <c r="H177">
        <f t="shared" si="43"/>
        <v>20</v>
      </c>
      <c r="I177">
        <f t="shared" si="47"/>
        <v>347</v>
      </c>
      <c r="J177">
        <f t="shared" si="55"/>
        <v>5</v>
      </c>
      <c r="L177">
        <f t="shared" si="44"/>
        <v>3635</v>
      </c>
      <c r="M177">
        <f t="shared" si="45"/>
        <v>347</v>
      </c>
      <c r="N177" s="9" t="e">
        <f>IF(OR($B177&gt;Assump!$E$9,$B177&lt;HVDC_Received_Max),NA(),NI_demand*2)</f>
        <v>#N/A</v>
      </c>
      <c r="O177">
        <f t="shared" si="46"/>
        <v>3982</v>
      </c>
      <c r="R177">
        <f t="shared" si="48"/>
        <v>865</v>
      </c>
      <c r="S177" s="3">
        <f t="shared" si="49"/>
        <v>400</v>
      </c>
      <c r="T177">
        <f t="shared" si="50"/>
        <v>220</v>
      </c>
      <c r="U177">
        <f t="shared" si="51"/>
        <v>180</v>
      </c>
      <c r="V177">
        <f t="shared" si="52"/>
        <v>367</v>
      </c>
      <c r="W177">
        <f t="shared" si="53"/>
        <v>367</v>
      </c>
      <c r="X177">
        <f t="shared" si="54"/>
        <v>400</v>
      </c>
    </row>
    <row r="178" spans="1:24" x14ac:dyDescent="0.25">
      <c r="A178" s="7">
        <f>B178/(1-Assump!$D$4)</f>
        <v>922.72727272727275</v>
      </c>
      <c r="B178" s="1">
        <v>870</v>
      </c>
      <c r="C178" s="9">
        <f t="shared" si="38"/>
        <v>220</v>
      </c>
      <c r="D178">
        <f t="shared" si="39"/>
        <v>220</v>
      </c>
      <c r="E178">
        <f t="shared" si="40"/>
        <v>372</v>
      </c>
      <c r="F178">
        <f t="shared" si="41"/>
        <v>180</v>
      </c>
      <c r="G178">
        <f t="shared" si="42"/>
        <v>400</v>
      </c>
      <c r="H178">
        <f t="shared" si="43"/>
        <v>20</v>
      </c>
      <c r="I178">
        <f t="shared" si="47"/>
        <v>352</v>
      </c>
      <c r="J178">
        <f t="shared" si="55"/>
        <v>5</v>
      </c>
      <c r="L178">
        <f t="shared" si="44"/>
        <v>3630</v>
      </c>
      <c r="M178">
        <f t="shared" si="45"/>
        <v>352</v>
      </c>
      <c r="N178" s="9" t="e">
        <f>IF(OR($B178&gt;Assump!$E$9,$B178&lt;HVDC_Received_Max),NA(),NI_demand*2)</f>
        <v>#N/A</v>
      </c>
      <c r="O178">
        <f t="shared" si="46"/>
        <v>3982</v>
      </c>
      <c r="R178">
        <f t="shared" si="48"/>
        <v>870</v>
      </c>
      <c r="S178" s="3">
        <f t="shared" si="49"/>
        <v>400</v>
      </c>
      <c r="T178">
        <f t="shared" si="50"/>
        <v>220</v>
      </c>
      <c r="U178">
        <f t="shared" si="51"/>
        <v>180</v>
      </c>
      <c r="V178">
        <f t="shared" si="52"/>
        <v>372</v>
      </c>
      <c r="W178">
        <f t="shared" si="53"/>
        <v>372</v>
      </c>
      <c r="X178">
        <f t="shared" si="54"/>
        <v>400</v>
      </c>
    </row>
    <row r="179" spans="1:24" x14ac:dyDescent="0.25">
      <c r="A179" s="7">
        <f>B179/(1-Assump!$D$4)</f>
        <v>928.030303030303</v>
      </c>
      <c r="B179" s="1">
        <v>875</v>
      </c>
      <c r="C179" s="9">
        <f t="shared" si="38"/>
        <v>220</v>
      </c>
      <c r="D179">
        <f t="shared" si="39"/>
        <v>220</v>
      </c>
      <c r="E179">
        <f t="shared" si="40"/>
        <v>377</v>
      </c>
      <c r="F179">
        <f t="shared" si="41"/>
        <v>180</v>
      </c>
      <c r="G179">
        <f t="shared" si="42"/>
        <v>400</v>
      </c>
      <c r="H179">
        <f t="shared" si="43"/>
        <v>20</v>
      </c>
      <c r="I179">
        <f t="shared" si="47"/>
        <v>357</v>
      </c>
      <c r="J179">
        <f t="shared" si="55"/>
        <v>5</v>
      </c>
      <c r="L179">
        <f t="shared" si="44"/>
        <v>3625</v>
      </c>
      <c r="M179">
        <f t="shared" si="45"/>
        <v>357</v>
      </c>
      <c r="N179" s="9" t="e">
        <f>IF(OR($B179&gt;Assump!$E$9,$B179&lt;HVDC_Received_Max),NA(),NI_demand*2)</f>
        <v>#N/A</v>
      </c>
      <c r="O179">
        <f t="shared" si="46"/>
        <v>3982</v>
      </c>
      <c r="R179">
        <f t="shared" si="48"/>
        <v>875</v>
      </c>
      <c r="S179" s="3">
        <f t="shared" si="49"/>
        <v>400</v>
      </c>
      <c r="T179">
        <f t="shared" si="50"/>
        <v>220</v>
      </c>
      <c r="U179">
        <f t="shared" si="51"/>
        <v>180</v>
      </c>
      <c r="V179">
        <f t="shared" si="52"/>
        <v>377</v>
      </c>
      <c r="W179">
        <f t="shared" si="53"/>
        <v>377</v>
      </c>
      <c r="X179">
        <f t="shared" si="54"/>
        <v>400</v>
      </c>
    </row>
    <row r="180" spans="1:24" x14ac:dyDescent="0.25">
      <c r="A180" s="7">
        <f>B180/(1-Assump!$D$4)</f>
        <v>933.33333333333337</v>
      </c>
      <c r="B180" s="1">
        <v>880</v>
      </c>
      <c r="C180" s="9">
        <f t="shared" si="38"/>
        <v>220</v>
      </c>
      <c r="D180">
        <f t="shared" si="39"/>
        <v>220</v>
      </c>
      <c r="E180">
        <f t="shared" si="40"/>
        <v>382</v>
      </c>
      <c r="F180">
        <f t="shared" si="41"/>
        <v>180</v>
      </c>
      <c r="G180">
        <f t="shared" si="42"/>
        <v>400</v>
      </c>
      <c r="H180">
        <f t="shared" si="43"/>
        <v>20</v>
      </c>
      <c r="I180">
        <f t="shared" si="47"/>
        <v>362</v>
      </c>
      <c r="J180">
        <f t="shared" si="55"/>
        <v>5</v>
      </c>
      <c r="L180">
        <f t="shared" si="44"/>
        <v>3620</v>
      </c>
      <c r="M180">
        <f t="shared" si="45"/>
        <v>362</v>
      </c>
      <c r="N180" s="9" t="e">
        <f>IF(OR($B180&gt;Assump!$E$9,$B180&lt;HVDC_Received_Max),NA(),NI_demand*2)</f>
        <v>#N/A</v>
      </c>
      <c r="O180">
        <f t="shared" si="46"/>
        <v>3982</v>
      </c>
      <c r="R180">
        <f t="shared" si="48"/>
        <v>880</v>
      </c>
      <c r="S180" s="3">
        <f t="shared" si="49"/>
        <v>400</v>
      </c>
      <c r="T180">
        <f t="shared" si="50"/>
        <v>220</v>
      </c>
      <c r="U180">
        <f t="shared" si="51"/>
        <v>180</v>
      </c>
      <c r="V180">
        <f t="shared" si="52"/>
        <v>382</v>
      </c>
      <c r="W180">
        <f t="shared" si="53"/>
        <v>382</v>
      </c>
      <c r="X180">
        <f t="shared" si="54"/>
        <v>400</v>
      </c>
    </row>
    <row r="181" spans="1:24" x14ac:dyDescent="0.25">
      <c r="A181" s="7">
        <f>B181/(1-Assump!$D$4)</f>
        <v>938.63636363636363</v>
      </c>
      <c r="B181" s="1">
        <v>885</v>
      </c>
      <c r="C181" s="9">
        <f t="shared" si="38"/>
        <v>216.42857142857133</v>
      </c>
      <c r="D181">
        <f t="shared" si="39"/>
        <v>216.42857142857133</v>
      </c>
      <c r="E181">
        <f t="shared" si="40"/>
        <v>387</v>
      </c>
      <c r="F181">
        <f t="shared" si="41"/>
        <v>183.57142857142867</v>
      </c>
      <c r="G181">
        <f t="shared" si="42"/>
        <v>400</v>
      </c>
      <c r="H181">
        <f t="shared" si="43"/>
        <v>20</v>
      </c>
      <c r="I181">
        <f t="shared" si="47"/>
        <v>367</v>
      </c>
      <c r="J181">
        <f t="shared" si="55"/>
        <v>5</v>
      </c>
      <c r="L181">
        <f t="shared" si="44"/>
        <v>3615</v>
      </c>
      <c r="M181">
        <f t="shared" si="45"/>
        <v>367</v>
      </c>
      <c r="N181" s="9" t="e">
        <f>IF(OR($B181&gt;Assump!$E$9,$B181&lt;HVDC_Received_Max),NA(),NI_demand*2)</f>
        <v>#N/A</v>
      </c>
      <c r="O181">
        <f t="shared" si="46"/>
        <v>3982</v>
      </c>
      <c r="R181">
        <f t="shared" si="48"/>
        <v>885</v>
      </c>
      <c r="S181" s="3">
        <f t="shared" si="49"/>
        <v>400</v>
      </c>
      <c r="T181">
        <f t="shared" si="50"/>
        <v>216.42857142857133</v>
      </c>
      <c r="U181">
        <f t="shared" si="51"/>
        <v>183.57142857142867</v>
      </c>
      <c r="V181">
        <f t="shared" si="52"/>
        <v>387</v>
      </c>
      <c r="W181">
        <f t="shared" si="53"/>
        <v>387</v>
      </c>
      <c r="X181">
        <f t="shared" si="54"/>
        <v>400</v>
      </c>
    </row>
    <row r="182" spans="1:24" x14ac:dyDescent="0.25">
      <c r="A182" s="7">
        <f>B182/(1-Assump!$D$4)</f>
        <v>943.93939393939399</v>
      </c>
      <c r="B182" s="1">
        <v>890</v>
      </c>
      <c r="C182" s="9">
        <f t="shared" si="38"/>
        <v>211.42857142857133</v>
      </c>
      <c r="D182">
        <f t="shared" si="39"/>
        <v>211.42857142857133</v>
      </c>
      <c r="E182">
        <f t="shared" si="40"/>
        <v>392</v>
      </c>
      <c r="F182">
        <f t="shared" si="41"/>
        <v>188.57142857142867</v>
      </c>
      <c r="G182">
        <f t="shared" si="42"/>
        <v>400</v>
      </c>
      <c r="H182">
        <f t="shared" si="43"/>
        <v>20</v>
      </c>
      <c r="I182">
        <f t="shared" si="47"/>
        <v>372</v>
      </c>
      <c r="J182">
        <f t="shared" si="55"/>
        <v>5</v>
      </c>
      <c r="L182">
        <f t="shared" si="44"/>
        <v>3610</v>
      </c>
      <c r="M182">
        <f t="shared" si="45"/>
        <v>372</v>
      </c>
      <c r="N182" s="9" t="e">
        <f>IF(OR($B182&gt;Assump!$E$9,$B182&lt;HVDC_Received_Max),NA(),NI_demand*2)</f>
        <v>#N/A</v>
      </c>
      <c r="O182">
        <f t="shared" si="46"/>
        <v>3982</v>
      </c>
      <c r="R182">
        <f t="shared" si="48"/>
        <v>890</v>
      </c>
      <c r="S182" s="3">
        <f t="shared" si="49"/>
        <v>400</v>
      </c>
      <c r="T182">
        <f t="shared" si="50"/>
        <v>211.42857142857133</v>
      </c>
      <c r="U182">
        <f t="shared" si="51"/>
        <v>188.57142857142867</v>
      </c>
      <c r="V182">
        <f t="shared" si="52"/>
        <v>392</v>
      </c>
      <c r="W182">
        <f t="shared" si="53"/>
        <v>392</v>
      </c>
      <c r="X182">
        <f t="shared" si="54"/>
        <v>400</v>
      </c>
    </row>
    <row r="183" spans="1:24" x14ac:dyDescent="0.25">
      <c r="A183" s="7">
        <f>B183/(1-Assump!$D$4)</f>
        <v>949.24242424242425</v>
      </c>
      <c r="B183" s="1">
        <v>895</v>
      </c>
      <c r="C183" s="9">
        <f t="shared" si="38"/>
        <v>206.42857142857133</v>
      </c>
      <c r="D183">
        <f t="shared" si="39"/>
        <v>206.42857142857133</v>
      </c>
      <c r="E183">
        <f t="shared" si="40"/>
        <v>397</v>
      </c>
      <c r="F183">
        <f t="shared" si="41"/>
        <v>193.57142857142867</v>
      </c>
      <c r="G183">
        <f t="shared" si="42"/>
        <v>400</v>
      </c>
      <c r="H183">
        <f t="shared" si="43"/>
        <v>20</v>
      </c>
      <c r="I183">
        <f t="shared" si="47"/>
        <v>377</v>
      </c>
      <c r="J183">
        <f t="shared" si="55"/>
        <v>5</v>
      </c>
      <c r="L183">
        <f t="shared" si="44"/>
        <v>3605</v>
      </c>
      <c r="M183">
        <f t="shared" si="45"/>
        <v>377</v>
      </c>
      <c r="N183" s="9" t="e">
        <f>IF(OR($B183&gt;Assump!$E$9,$B183&lt;HVDC_Received_Max),NA(),NI_demand*2)</f>
        <v>#N/A</v>
      </c>
      <c r="O183">
        <f t="shared" si="46"/>
        <v>3982</v>
      </c>
      <c r="R183">
        <f t="shared" si="48"/>
        <v>895</v>
      </c>
      <c r="S183" s="3">
        <f t="shared" si="49"/>
        <v>400</v>
      </c>
      <c r="T183">
        <f t="shared" si="50"/>
        <v>206.42857142857133</v>
      </c>
      <c r="U183">
        <f t="shared" si="51"/>
        <v>193.57142857142867</v>
      </c>
      <c r="V183">
        <f t="shared" si="52"/>
        <v>397</v>
      </c>
      <c r="W183">
        <f t="shared" si="53"/>
        <v>397</v>
      </c>
      <c r="X183">
        <f t="shared" si="54"/>
        <v>400</v>
      </c>
    </row>
    <row r="184" spans="1:24" x14ac:dyDescent="0.25">
      <c r="A184" s="7">
        <f>B184/(1-Assump!$D$4)</f>
        <v>954.54545454545462</v>
      </c>
      <c r="B184" s="1">
        <v>900</v>
      </c>
      <c r="C184" s="9">
        <f t="shared" si="38"/>
        <v>201.42857142857133</v>
      </c>
      <c r="D184">
        <f t="shared" si="39"/>
        <v>201.42857142857133</v>
      </c>
      <c r="E184">
        <f t="shared" si="40"/>
        <v>402</v>
      </c>
      <c r="F184">
        <f t="shared" si="41"/>
        <v>198.57142857142867</v>
      </c>
      <c r="G184">
        <f t="shared" si="42"/>
        <v>400</v>
      </c>
      <c r="H184">
        <f t="shared" si="43"/>
        <v>20</v>
      </c>
      <c r="I184">
        <f t="shared" si="47"/>
        <v>382</v>
      </c>
      <c r="J184">
        <f t="shared" si="55"/>
        <v>5</v>
      </c>
      <c r="L184">
        <f t="shared" si="44"/>
        <v>3600</v>
      </c>
      <c r="M184">
        <f t="shared" si="45"/>
        <v>382</v>
      </c>
      <c r="N184" s="9" t="e">
        <f>IF(OR($B184&gt;Assump!$E$9,$B184&lt;HVDC_Received_Max),NA(),NI_demand*2)</f>
        <v>#N/A</v>
      </c>
      <c r="O184">
        <f t="shared" si="46"/>
        <v>3982</v>
      </c>
      <c r="R184">
        <f t="shared" si="48"/>
        <v>900</v>
      </c>
      <c r="S184" s="3">
        <f t="shared" si="49"/>
        <v>400</v>
      </c>
      <c r="T184">
        <f t="shared" si="50"/>
        <v>201.42857142857133</v>
      </c>
      <c r="U184">
        <f t="shared" si="51"/>
        <v>198.57142857142867</v>
      </c>
      <c r="V184">
        <f t="shared" si="52"/>
        <v>402</v>
      </c>
      <c r="W184">
        <f t="shared" si="53"/>
        <v>402</v>
      </c>
      <c r="X184">
        <f t="shared" si="54"/>
        <v>402</v>
      </c>
    </row>
    <row r="185" spans="1:24" x14ac:dyDescent="0.25">
      <c r="A185" s="7">
        <f>B185/(1-Assump!$D$4)</f>
        <v>959.84848484848487</v>
      </c>
      <c r="B185" s="1">
        <v>905</v>
      </c>
      <c r="C185" s="9">
        <f t="shared" si="38"/>
        <v>196.42857142857133</v>
      </c>
      <c r="D185">
        <f t="shared" si="39"/>
        <v>196.42857142857133</v>
      </c>
      <c r="E185">
        <f t="shared" si="40"/>
        <v>407</v>
      </c>
      <c r="F185">
        <f t="shared" si="41"/>
        <v>203.57142857142867</v>
      </c>
      <c r="G185">
        <f t="shared" si="42"/>
        <v>400</v>
      </c>
      <c r="H185">
        <f t="shared" si="43"/>
        <v>20</v>
      </c>
      <c r="I185">
        <f t="shared" si="47"/>
        <v>387</v>
      </c>
      <c r="J185">
        <f t="shared" si="55"/>
        <v>5</v>
      </c>
      <c r="L185">
        <f t="shared" si="44"/>
        <v>3595</v>
      </c>
      <c r="M185">
        <f t="shared" si="45"/>
        <v>387</v>
      </c>
      <c r="N185" s="9" t="e">
        <f>IF(OR($B185&gt;Assump!$E$9,$B185&lt;HVDC_Received_Max),NA(),NI_demand*2)</f>
        <v>#N/A</v>
      </c>
      <c r="O185">
        <f t="shared" si="46"/>
        <v>3982</v>
      </c>
      <c r="R185">
        <f t="shared" si="48"/>
        <v>905</v>
      </c>
      <c r="S185" s="3">
        <f t="shared" si="49"/>
        <v>400</v>
      </c>
      <c r="T185">
        <f t="shared" si="50"/>
        <v>196.42857142857133</v>
      </c>
      <c r="U185">
        <f t="shared" si="51"/>
        <v>203.57142857142867</v>
      </c>
      <c r="V185">
        <f t="shared" si="52"/>
        <v>407</v>
      </c>
      <c r="W185">
        <f t="shared" si="53"/>
        <v>407</v>
      </c>
      <c r="X185">
        <f t="shared" si="54"/>
        <v>407</v>
      </c>
    </row>
    <row r="186" spans="1:24" x14ac:dyDescent="0.25">
      <c r="A186" s="7">
        <f>B186/(1-Assump!$D$4)</f>
        <v>965.15151515151513</v>
      </c>
      <c r="B186" s="1">
        <v>910</v>
      </c>
      <c r="C186" s="9">
        <f t="shared" si="38"/>
        <v>191.42857142857133</v>
      </c>
      <c r="D186">
        <f t="shared" si="39"/>
        <v>191.42857142857133</v>
      </c>
      <c r="E186">
        <f t="shared" si="40"/>
        <v>412</v>
      </c>
      <c r="F186">
        <f t="shared" si="41"/>
        <v>208.57142857142867</v>
      </c>
      <c r="G186">
        <f t="shared" si="42"/>
        <v>400</v>
      </c>
      <c r="H186">
        <f t="shared" si="43"/>
        <v>20</v>
      </c>
      <c r="I186">
        <f t="shared" si="47"/>
        <v>392</v>
      </c>
      <c r="J186">
        <f t="shared" si="55"/>
        <v>5</v>
      </c>
      <c r="L186">
        <f t="shared" si="44"/>
        <v>3590</v>
      </c>
      <c r="M186">
        <f t="shared" si="45"/>
        <v>392</v>
      </c>
      <c r="N186" s="9" t="e">
        <f>IF(OR($B186&gt;Assump!$E$9,$B186&lt;HVDC_Received_Max),NA(),NI_demand*2)</f>
        <v>#N/A</v>
      </c>
      <c r="O186">
        <f t="shared" si="46"/>
        <v>3982</v>
      </c>
      <c r="R186">
        <f t="shared" si="48"/>
        <v>910</v>
      </c>
      <c r="S186" s="3">
        <f t="shared" si="49"/>
        <v>400</v>
      </c>
      <c r="T186">
        <f t="shared" si="50"/>
        <v>191.42857142857133</v>
      </c>
      <c r="U186">
        <f t="shared" si="51"/>
        <v>208.57142857142867</v>
      </c>
      <c r="V186">
        <f t="shared" si="52"/>
        <v>412</v>
      </c>
      <c r="W186">
        <f t="shared" si="53"/>
        <v>412</v>
      </c>
      <c r="X186">
        <f t="shared" si="54"/>
        <v>412</v>
      </c>
    </row>
    <row r="187" spans="1:24" x14ac:dyDescent="0.25">
      <c r="A187" s="7">
        <f>B187/(1-Assump!$D$4)</f>
        <v>970.4545454545455</v>
      </c>
      <c r="B187" s="1">
        <v>915</v>
      </c>
      <c r="C187" s="9">
        <f t="shared" si="38"/>
        <v>186.42857142857133</v>
      </c>
      <c r="D187">
        <f t="shared" si="39"/>
        <v>186.42857142857133</v>
      </c>
      <c r="E187">
        <f t="shared" si="40"/>
        <v>417</v>
      </c>
      <c r="F187">
        <f t="shared" si="41"/>
        <v>213.57142857142867</v>
      </c>
      <c r="G187">
        <f t="shared" si="42"/>
        <v>400</v>
      </c>
      <c r="H187">
        <f t="shared" si="43"/>
        <v>20</v>
      </c>
      <c r="I187">
        <f t="shared" si="47"/>
        <v>397</v>
      </c>
      <c r="J187">
        <f t="shared" si="55"/>
        <v>5</v>
      </c>
      <c r="L187">
        <f t="shared" si="44"/>
        <v>3585</v>
      </c>
      <c r="M187">
        <f t="shared" si="45"/>
        <v>397</v>
      </c>
      <c r="N187" s="9" t="e">
        <f>IF(OR($B187&gt;Assump!$E$9,$B187&lt;HVDC_Received_Max),NA(),NI_demand*2)</f>
        <v>#N/A</v>
      </c>
      <c r="O187">
        <f t="shared" si="46"/>
        <v>3982</v>
      </c>
      <c r="R187">
        <f t="shared" si="48"/>
        <v>915</v>
      </c>
      <c r="S187" s="3">
        <f t="shared" si="49"/>
        <v>400</v>
      </c>
      <c r="T187">
        <f t="shared" si="50"/>
        <v>186.42857142857133</v>
      </c>
      <c r="U187">
        <f t="shared" si="51"/>
        <v>213.57142857142867</v>
      </c>
      <c r="V187">
        <f t="shared" si="52"/>
        <v>417</v>
      </c>
      <c r="W187">
        <f t="shared" si="53"/>
        <v>417</v>
      </c>
      <c r="X187">
        <f t="shared" si="54"/>
        <v>417</v>
      </c>
    </row>
    <row r="188" spans="1:24" x14ac:dyDescent="0.25">
      <c r="A188" s="7">
        <f>B188/(1-Assump!$D$4)</f>
        <v>975.75757575757575</v>
      </c>
      <c r="B188" s="1">
        <v>920</v>
      </c>
      <c r="C188" s="9">
        <f t="shared" si="38"/>
        <v>181.42857142857133</v>
      </c>
      <c r="D188">
        <f t="shared" si="39"/>
        <v>181.42857142857133</v>
      </c>
      <c r="E188">
        <f t="shared" si="40"/>
        <v>422</v>
      </c>
      <c r="F188">
        <f t="shared" si="41"/>
        <v>218.57142857142867</v>
      </c>
      <c r="G188">
        <f t="shared" si="42"/>
        <v>400</v>
      </c>
      <c r="H188">
        <f t="shared" si="43"/>
        <v>20</v>
      </c>
      <c r="I188">
        <f t="shared" si="47"/>
        <v>402</v>
      </c>
      <c r="J188">
        <f t="shared" si="55"/>
        <v>5</v>
      </c>
      <c r="L188">
        <f t="shared" si="44"/>
        <v>3580</v>
      </c>
      <c r="M188">
        <f t="shared" si="45"/>
        <v>402</v>
      </c>
      <c r="N188" s="9" t="e">
        <f>IF(OR($B188&gt;Assump!$E$9,$B188&lt;HVDC_Received_Max),NA(),NI_demand*2)</f>
        <v>#N/A</v>
      </c>
      <c r="O188">
        <f t="shared" si="46"/>
        <v>3982</v>
      </c>
      <c r="R188">
        <f t="shared" si="48"/>
        <v>920</v>
      </c>
      <c r="S188" s="3">
        <f t="shared" si="49"/>
        <v>400</v>
      </c>
      <c r="T188">
        <f t="shared" si="50"/>
        <v>181.42857142857133</v>
      </c>
      <c r="U188">
        <f t="shared" si="51"/>
        <v>218.57142857142867</v>
      </c>
      <c r="V188">
        <f t="shared" si="52"/>
        <v>422</v>
      </c>
      <c r="W188">
        <f t="shared" si="53"/>
        <v>422</v>
      </c>
      <c r="X188">
        <f t="shared" si="54"/>
        <v>422</v>
      </c>
    </row>
    <row r="189" spans="1:24" x14ac:dyDescent="0.25">
      <c r="A189" s="7">
        <f>B189/(1-Assump!$D$4)</f>
        <v>981.06060606060612</v>
      </c>
      <c r="B189" s="1">
        <v>925</v>
      </c>
      <c r="C189" s="9">
        <f t="shared" si="38"/>
        <v>176.42857142857133</v>
      </c>
      <c r="D189">
        <f t="shared" si="39"/>
        <v>176.42857142857133</v>
      </c>
      <c r="E189">
        <f t="shared" si="40"/>
        <v>427</v>
      </c>
      <c r="F189">
        <f t="shared" si="41"/>
        <v>223.57142857142867</v>
      </c>
      <c r="G189">
        <f t="shared" si="42"/>
        <v>400</v>
      </c>
      <c r="H189">
        <f t="shared" si="43"/>
        <v>20</v>
      </c>
      <c r="I189">
        <f t="shared" si="47"/>
        <v>407</v>
      </c>
      <c r="J189">
        <f t="shared" si="55"/>
        <v>5</v>
      </c>
      <c r="L189">
        <f t="shared" si="44"/>
        <v>3575</v>
      </c>
      <c r="M189">
        <f t="shared" si="45"/>
        <v>407</v>
      </c>
      <c r="N189" s="9" t="e">
        <f>IF(OR($B189&gt;Assump!$E$9,$B189&lt;HVDC_Received_Max),NA(),NI_demand*2)</f>
        <v>#N/A</v>
      </c>
      <c r="O189">
        <f t="shared" si="46"/>
        <v>3982</v>
      </c>
      <c r="R189">
        <f t="shared" si="48"/>
        <v>925</v>
      </c>
      <c r="S189" s="3">
        <f t="shared" si="49"/>
        <v>400</v>
      </c>
      <c r="T189">
        <f t="shared" si="50"/>
        <v>176.42857142857133</v>
      </c>
      <c r="U189">
        <f t="shared" si="51"/>
        <v>223.57142857142867</v>
      </c>
      <c r="V189">
        <f t="shared" si="52"/>
        <v>427</v>
      </c>
      <c r="W189">
        <f t="shared" si="53"/>
        <v>427</v>
      </c>
      <c r="X189">
        <f t="shared" si="54"/>
        <v>427</v>
      </c>
    </row>
    <row r="190" spans="1:24" x14ac:dyDescent="0.25">
      <c r="A190" s="7">
        <f>B190/(1-Assump!$D$4)</f>
        <v>986.36363636363637</v>
      </c>
      <c r="B190" s="1">
        <v>930</v>
      </c>
      <c r="C190" s="9">
        <f t="shared" si="38"/>
        <v>171.42857142857133</v>
      </c>
      <c r="D190">
        <f t="shared" si="39"/>
        <v>171.42857142857133</v>
      </c>
      <c r="E190">
        <f t="shared" si="40"/>
        <v>432</v>
      </c>
      <c r="F190">
        <f t="shared" si="41"/>
        <v>228.57142857142867</v>
      </c>
      <c r="G190">
        <f t="shared" si="42"/>
        <v>400</v>
      </c>
      <c r="H190">
        <f t="shared" si="43"/>
        <v>20</v>
      </c>
      <c r="I190">
        <f t="shared" si="47"/>
        <v>412</v>
      </c>
      <c r="J190">
        <f t="shared" si="55"/>
        <v>5</v>
      </c>
      <c r="L190">
        <f t="shared" si="44"/>
        <v>3570</v>
      </c>
      <c r="M190">
        <f t="shared" si="45"/>
        <v>412</v>
      </c>
      <c r="N190" s="9" t="e">
        <f>IF(OR($B190&gt;Assump!$E$9,$B190&lt;HVDC_Received_Max),NA(),NI_demand*2)</f>
        <v>#N/A</v>
      </c>
      <c r="O190">
        <f t="shared" si="46"/>
        <v>3982</v>
      </c>
      <c r="R190">
        <f t="shared" si="48"/>
        <v>930</v>
      </c>
      <c r="S190" s="3">
        <f t="shared" si="49"/>
        <v>400</v>
      </c>
      <c r="T190">
        <f t="shared" si="50"/>
        <v>171.42857142857133</v>
      </c>
      <c r="U190">
        <f t="shared" si="51"/>
        <v>228.57142857142867</v>
      </c>
      <c r="V190">
        <f t="shared" si="52"/>
        <v>432</v>
      </c>
      <c r="W190">
        <f t="shared" si="53"/>
        <v>432</v>
      </c>
      <c r="X190">
        <f t="shared" si="54"/>
        <v>432</v>
      </c>
    </row>
    <row r="191" spans="1:24" x14ac:dyDescent="0.25">
      <c r="A191" s="7">
        <f>B191/(1-Assump!$D$4)</f>
        <v>991.66666666666674</v>
      </c>
      <c r="B191" s="1">
        <v>935</v>
      </c>
      <c r="C191" s="9">
        <f t="shared" si="38"/>
        <v>166.42857142857133</v>
      </c>
      <c r="D191">
        <f t="shared" si="39"/>
        <v>166.42857142857133</v>
      </c>
      <c r="E191">
        <f t="shared" si="40"/>
        <v>437</v>
      </c>
      <c r="F191">
        <f t="shared" si="41"/>
        <v>233.57142857142867</v>
      </c>
      <c r="G191">
        <f t="shared" si="42"/>
        <v>400</v>
      </c>
      <c r="H191">
        <f t="shared" si="43"/>
        <v>20</v>
      </c>
      <c r="I191">
        <f t="shared" si="47"/>
        <v>417</v>
      </c>
      <c r="J191">
        <f t="shared" si="55"/>
        <v>5</v>
      </c>
      <c r="L191">
        <f t="shared" si="44"/>
        <v>3565</v>
      </c>
      <c r="M191">
        <f t="shared" si="45"/>
        <v>417</v>
      </c>
      <c r="N191" s="9" t="e">
        <f>IF(OR($B191&gt;Assump!$E$9,$B191&lt;HVDC_Received_Max),NA(),NI_demand*2)</f>
        <v>#N/A</v>
      </c>
      <c r="O191">
        <f t="shared" si="46"/>
        <v>3982</v>
      </c>
      <c r="R191">
        <f t="shared" si="48"/>
        <v>935</v>
      </c>
      <c r="S191" s="3">
        <f t="shared" si="49"/>
        <v>400</v>
      </c>
      <c r="T191">
        <f t="shared" si="50"/>
        <v>166.42857142857133</v>
      </c>
      <c r="U191">
        <f t="shared" si="51"/>
        <v>233.57142857142867</v>
      </c>
      <c r="V191">
        <f t="shared" si="52"/>
        <v>437</v>
      </c>
      <c r="W191">
        <f t="shared" si="53"/>
        <v>437</v>
      </c>
      <c r="X191">
        <f t="shared" si="54"/>
        <v>437</v>
      </c>
    </row>
    <row r="192" spans="1:24" x14ac:dyDescent="0.25">
      <c r="A192" s="7">
        <f>B192/(1-Assump!$D$4)</f>
        <v>996.969696969697</v>
      </c>
      <c r="B192" s="1">
        <v>940</v>
      </c>
      <c r="C192" s="9">
        <f t="shared" si="38"/>
        <v>161.42857142857133</v>
      </c>
      <c r="D192">
        <f t="shared" si="39"/>
        <v>161.42857142857133</v>
      </c>
      <c r="E192">
        <f t="shared" si="40"/>
        <v>442</v>
      </c>
      <c r="F192">
        <f t="shared" si="41"/>
        <v>238.57142857142867</v>
      </c>
      <c r="G192">
        <f t="shared" si="42"/>
        <v>400</v>
      </c>
      <c r="H192">
        <f t="shared" si="43"/>
        <v>20</v>
      </c>
      <c r="I192">
        <f t="shared" si="47"/>
        <v>422</v>
      </c>
      <c r="J192">
        <f t="shared" si="55"/>
        <v>5</v>
      </c>
      <c r="L192">
        <f t="shared" si="44"/>
        <v>3560</v>
      </c>
      <c r="M192">
        <f t="shared" si="45"/>
        <v>422</v>
      </c>
      <c r="N192" s="9" t="e">
        <f>IF(OR($B192&gt;Assump!$E$9,$B192&lt;HVDC_Received_Max),NA(),NI_demand*2)</f>
        <v>#N/A</v>
      </c>
      <c r="O192">
        <f t="shared" si="46"/>
        <v>3982</v>
      </c>
      <c r="R192">
        <f t="shared" si="48"/>
        <v>940</v>
      </c>
      <c r="S192" s="3">
        <f t="shared" si="49"/>
        <v>400</v>
      </c>
      <c r="T192">
        <f t="shared" si="50"/>
        <v>161.42857142857133</v>
      </c>
      <c r="U192">
        <f t="shared" si="51"/>
        <v>238.57142857142867</v>
      </c>
      <c r="V192">
        <f t="shared" si="52"/>
        <v>442</v>
      </c>
      <c r="W192">
        <f t="shared" si="53"/>
        <v>442</v>
      </c>
      <c r="X192">
        <f t="shared" si="54"/>
        <v>442</v>
      </c>
    </row>
    <row r="193" spans="1:24" x14ac:dyDescent="0.25">
      <c r="A193" s="7">
        <f>B193/(1-Assump!$D$4)</f>
        <v>1002.2727272727273</v>
      </c>
      <c r="B193" s="1">
        <v>945</v>
      </c>
      <c r="C193" s="9">
        <f t="shared" si="38"/>
        <v>156.42857142857133</v>
      </c>
      <c r="D193">
        <f t="shared" si="39"/>
        <v>156.42857142857133</v>
      </c>
      <c r="E193">
        <f t="shared" si="40"/>
        <v>447</v>
      </c>
      <c r="F193">
        <f t="shared" si="41"/>
        <v>243.57142857142867</v>
      </c>
      <c r="G193">
        <f t="shared" si="42"/>
        <v>400</v>
      </c>
      <c r="H193">
        <f t="shared" si="43"/>
        <v>20</v>
      </c>
      <c r="I193">
        <f t="shared" si="47"/>
        <v>427</v>
      </c>
      <c r="J193">
        <f t="shared" si="55"/>
        <v>5</v>
      </c>
      <c r="L193">
        <f t="shared" si="44"/>
        <v>3555</v>
      </c>
      <c r="M193">
        <f t="shared" si="45"/>
        <v>427</v>
      </c>
      <c r="N193" s="9" t="e">
        <f>IF(OR($B193&gt;Assump!$E$9,$B193&lt;HVDC_Received_Max),NA(),NI_demand*2)</f>
        <v>#N/A</v>
      </c>
      <c r="O193">
        <f t="shared" si="46"/>
        <v>3982</v>
      </c>
      <c r="R193">
        <f t="shared" si="48"/>
        <v>945</v>
      </c>
      <c r="S193" s="3">
        <f t="shared" si="49"/>
        <v>400</v>
      </c>
      <c r="T193">
        <f t="shared" si="50"/>
        <v>156.42857142857133</v>
      </c>
      <c r="U193">
        <f t="shared" si="51"/>
        <v>243.57142857142867</v>
      </c>
      <c r="V193">
        <f t="shared" si="52"/>
        <v>447</v>
      </c>
      <c r="W193">
        <f t="shared" si="53"/>
        <v>447</v>
      </c>
      <c r="X193">
        <f t="shared" si="54"/>
        <v>447</v>
      </c>
    </row>
    <row r="194" spans="1:24" x14ac:dyDescent="0.25">
      <c r="A194" s="7">
        <f>B194/(1-Assump!$D$4)</f>
        <v>1007.5757575757576</v>
      </c>
      <c r="B194" s="1">
        <v>950</v>
      </c>
      <c r="C194" s="9">
        <f t="shared" si="38"/>
        <v>151.42857142857133</v>
      </c>
      <c r="D194">
        <f t="shared" si="39"/>
        <v>151.42857142857133</v>
      </c>
      <c r="E194">
        <f t="shared" si="40"/>
        <v>452</v>
      </c>
      <c r="F194">
        <f t="shared" si="41"/>
        <v>248.57142857142867</v>
      </c>
      <c r="G194">
        <f t="shared" si="42"/>
        <v>400</v>
      </c>
      <c r="H194">
        <f t="shared" si="43"/>
        <v>20</v>
      </c>
      <c r="I194">
        <f t="shared" si="47"/>
        <v>432</v>
      </c>
      <c r="J194">
        <f t="shared" si="55"/>
        <v>5</v>
      </c>
      <c r="L194">
        <f t="shared" si="44"/>
        <v>3550</v>
      </c>
      <c r="M194">
        <f t="shared" si="45"/>
        <v>432</v>
      </c>
      <c r="N194" s="9" t="e">
        <f>IF(OR($B194&gt;Assump!$E$9,$B194&lt;HVDC_Received_Max),NA(),NI_demand*2)</f>
        <v>#N/A</v>
      </c>
      <c r="O194">
        <f t="shared" si="46"/>
        <v>3982</v>
      </c>
      <c r="R194">
        <f t="shared" si="48"/>
        <v>950</v>
      </c>
      <c r="S194" s="3">
        <f t="shared" si="49"/>
        <v>400</v>
      </c>
      <c r="T194">
        <f t="shared" si="50"/>
        <v>151.42857142857133</v>
      </c>
      <c r="U194">
        <f t="shared" si="51"/>
        <v>248.57142857142867</v>
      </c>
      <c r="V194">
        <f t="shared" si="52"/>
        <v>452</v>
      </c>
      <c r="W194">
        <f t="shared" si="53"/>
        <v>452</v>
      </c>
      <c r="X194">
        <f t="shared" si="54"/>
        <v>452</v>
      </c>
    </row>
    <row r="195" spans="1:24" x14ac:dyDescent="0.25">
      <c r="A195" s="7">
        <f>B195/(1-Assump!$D$4)</f>
        <v>1012.8787878787879</v>
      </c>
      <c r="B195" s="1">
        <v>955</v>
      </c>
      <c r="C195" s="9">
        <f t="shared" si="38"/>
        <v>146.42857142857133</v>
      </c>
      <c r="D195">
        <f t="shared" si="39"/>
        <v>146.42857142857133</v>
      </c>
      <c r="E195">
        <f t="shared" si="40"/>
        <v>457</v>
      </c>
      <c r="F195">
        <f t="shared" si="41"/>
        <v>253.57142857142867</v>
      </c>
      <c r="G195">
        <f t="shared" si="42"/>
        <v>400</v>
      </c>
      <c r="H195">
        <f t="shared" si="43"/>
        <v>20</v>
      </c>
      <c r="I195">
        <f t="shared" si="47"/>
        <v>437</v>
      </c>
      <c r="J195">
        <f t="shared" si="55"/>
        <v>5</v>
      </c>
      <c r="L195">
        <f t="shared" si="44"/>
        <v>3545</v>
      </c>
      <c r="M195">
        <f t="shared" si="45"/>
        <v>437</v>
      </c>
      <c r="N195" s="9" t="e">
        <f>IF(OR($B195&gt;Assump!$E$9,$B195&lt;HVDC_Received_Max),NA(),NI_demand*2)</f>
        <v>#N/A</v>
      </c>
      <c r="O195">
        <f t="shared" si="46"/>
        <v>3982</v>
      </c>
      <c r="R195">
        <f t="shared" si="48"/>
        <v>955</v>
      </c>
      <c r="S195" s="3">
        <f t="shared" si="49"/>
        <v>400</v>
      </c>
      <c r="T195">
        <f t="shared" si="50"/>
        <v>146.42857142857133</v>
      </c>
      <c r="U195">
        <f t="shared" si="51"/>
        <v>253.57142857142867</v>
      </c>
      <c r="V195">
        <f t="shared" si="52"/>
        <v>457</v>
      </c>
      <c r="W195">
        <f t="shared" si="53"/>
        <v>457</v>
      </c>
      <c r="X195">
        <f t="shared" si="54"/>
        <v>457</v>
      </c>
    </row>
    <row r="196" spans="1:24" x14ac:dyDescent="0.25">
      <c r="A196" s="7">
        <f>B196/(1-Assump!$D$4)</f>
        <v>1018.1818181818182</v>
      </c>
      <c r="B196" s="1">
        <v>960</v>
      </c>
      <c r="C196" s="9">
        <f t="shared" ref="C196:C259" si="56">MIN(HVDC_IR_transfer_cap,HVDC_Received_Max-B196-ModulationRisk)</f>
        <v>141.42857142857133</v>
      </c>
      <c r="D196">
        <f t="shared" ref="D196:D259" si="57">IF($B196&lt;HVDC_Received_Max,MAX(0,MIN(AC_CE,C196)),NA())</f>
        <v>141.42857142857133</v>
      </c>
      <c r="E196">
        <f t="shared" ref="E196:E259" si="58">IF($B196&lt;HVDC_Received_Max,B196-Pole2_limit+ModulationRisk,NA())</f>
        <v>462</v>
      </c>
      <c r="F196">
        <f t="shared" ref="F196:F259" si="59">IF($B196&lt;HVDC_Received_Max,MAX(0,MIN(AC_CE,AC_CE-C196)),NA())</f>
        <v>258.57142857142867</v>
      </c>
      <c r="G196">
        <f t="shared" ref="G196:G259" si="60">IF($B196&lt;HVDC_Received_Max,AC_CE,NA())</f>
        <v>400</v>
      </c>
      <c r="H196">
        <f t="shared" ref="H196:H259" si="61">IF($B196&lt;HVDC_Received_Max,NI_IL,NA())</f>
        <v>20</v>
      </c>
      <c r="I196">
        <f t="shared" si="47"/>
        <v>442</v>
      </c>
      <c r="J196">
        <f t="shared" si="55"/>
        <v>5</v>
      </c>
      <c r="L196">
        <f t="shared" ref="L196:L259" si="62">IF($B196&lt;HVDC_Received_Max,NI_demand-$B196,NA())</f>
        <v>3540</v>
      </c>
      <c r="M196">
        <f t="shared" ref="M196:M259" si="63">IF($B196&lt;HVDC_Received_Max,I196,NA())</f>
        <v>442</v>
      </c>
      <c r="N196" s="9" t="e">
        <f>IF(OR($B196&gt;Assump!$E$9,$B196&lt;HVDC_Received_Max),NA(),NI_demand*2)</f>
        <v>#N/A</v>
      </c>
      <c r="O196">
        <f t="shared" ref="O196:O244" si="64">SUM(L196:M196)</f>
        <v>3982</v>
      </c>
      <c r="R196">
        <f t="shared" si="48"/>
        <v>960</v>
      </c>
      <c r="S196" s="3">
        <f t="shared" si="49"/>
        <v>400</v>
      </c>
      <c r="T196">
        <f t="shared" si="50"/>
        <v>141.42857142857133</v>
      </c>
      <c r="U196">
        <f t="shared" si="51"/>
        <v>258.57142857142867</v>
      </c>
      <c r="V196">
        <f t="shared" si="52"/>
        <v>462</v>
      </c>
      <c r="W196">
        <f t="shared" si="53"/>
        <v>462</v>
      </c>
      <c r="X196">
        <f t="shared" si="54"/>
        <v>462</v>
      </c>
    </row>
    <row r="197" spans="1:24" x14ac:dyDescent="0.25">
      <c r="A197" s="7">
        <f>B197/(1-Assump!$D$4)</f>
        <v>1023.4848484848485</v>
      </c>
      <c r="B197" s="1">
        <v>965</v>
      </c>
      <c r="C197" s="9">
        <f t="shared" si="56"/>
        <v>136.42857142857133</v>
      </c>
      <c r="D197">
        <f t="shared" si="57"/>
        <v>136.42857142857133</v>
      </c>
      <c r="E197">
        <f t="shared" si="58"/>
        <v>467</v>
      </c>
      <c r="F197">
        <f t="shared" si="59"/>
        <v>263.57142857142867</v>
      </c>
      <c r="G197">
        <f t="shared" si="60"/>
        <v>400</v>
      </c>
      <c r="H197">
        <f t="shared" si="61"/>
        <v>20</v>
      </c>
      <c r="I197">
        <f t="shared" ref="I197:I244" si="65">MAX(0,MAX(E197,F197)-H197)</f>
        <v>447</v>
      </c>
      <c r="J197">
        <f t="shared" si="55"/>
        <v>5</v>
      </c>
      <c r="L197">
        <f t="shared" si="62"/>
        <v>3535</v>
      </c>
      <c r="M197">
        <f t="shared" si="63"/>
        <v>447</v>
      </c>
      <c r="N197" s="9" t="e">
        <f>IF(OR($B197&gt;Assump!$E$9,$B197&lt;HVDC_Received_Max),NA(),NI_demand*2)</f>
        <v>#N/A</v>
      </c>
      <c r="O197">
        <f t="shared" si="64"/>
        <v>3982</v>
      </c>
      <c r="R197">
        <f t="shared" ref="R197:R260" si="66">B197</f>
        <v>965</v>
      </c>
      <c r="S197" s="3">
        <f t="shared" ref="S197:S260" si="67">G197</f>
        <v>400</v>
      </c>
      <c r="T197">
        <f t="shared" ref="T197:T260" si="68">D197</f>
        <v>136.42857142857133</v>
      </c>
      <c r="U197">
        <f t="shared" ref="U197:U260" si="69">F197</f>
        <v>263.57142857142867</v>
      </c>
      <c r="V197">
        <f t="shared" ref="V197:V260" si="70">E197</f>
        <v>467</v>
      </c>
      <c r="W197">
        <f t="shared" ref="W197:W260" si="71">MAX(U197:V197)</f>
        <v>467</v>
      </c>
      <c r="X197">
        <f t="shared" ref="X197:X260" si="72">MAX(S197,V197)</f>
        <v>467</v>
      </c>
    </row>
    <row r="198" spans="1:24" x14ac:dyDescent="0.25">
      <c r="A198" s="7">
        <f>B198/(1-Assump!$D$4)</f>
        <v>1028.7878787878788</v>
      </c>
      <c r="B198" s="1">
        <v>970</v>
      </c>
      <c r="C198" s="9">
        <f t="shared" si="56"/>
        <v>131.42857142857133</v>
      </c>
      <c r="D198">
        <f t="shared" si="57"/>
        <v>131.42857142857133</v>
      </c>
      <c r="E198">
        <f t="shared" si="58"/>
        <v>472</v>
      </c>
      <c r="F198">
        <f t="shared" si="59"/>
        <v>268.57142857142867</v>
      </c>
      <c r="G198">
        <f t="shared" si="60"/>
        <v>400</v>
      </c>
      <c r="H198">
        <f t="shared" si="61"/>
        <v>20</v>
      </c>
      <c r="I198">
        <f t="shared" si="65"/>
        <v>452</v>
      </c>
      <c r="J198">
        <f t="shared" si="55"/>
        <v>5</v>
      </c>
      <c r="L198">
        <f t="shared" si="62"/>
        <v>3530</v>
      </c>
      <c r="M198">
        <f t="shared" si="63"/>
        <v>452</v>
      </c>
      <c r="N198" s="9" t="e">
        <f>IF(OR($B198&gt;Assump!$E$9,$B198&lt;HVDC_Received_Max),NA(),NI_demand*2)</f>
        <v>#N/A</v>
      </c>
      <c r="O198">
        <f t="shared" si="64"/>
        <v>3982</v>
      </c>
      <c r="R198">
        <f t="shared" si="66"/>
        <v>970</v>
      </c>
      <c r="S198" s="3">
        <f t="shared" si="67"/>
        <v>400</v>
      </c>
      <c r="T198">
        <f t="shared" si="68"/>
        <v>131.42857142857133</v>
      </c>
      <c r="U198">
        <f t="shared" si="69"/>
        <v>268.57142857142867</v>
      </c>
      <c r="V198">
        <f t="shared" si="70"/>
        <v>472</v>
      </c>
      <c r="W198">
        <f t="shared" si="71"/>
        <v>472</v>
      </c>
      <c r="X198">
        <f t="shared" si="72"/>
        <v>472</v>
      </c>
    </row>
    <row r="199" spans="1:24" x14ac:dyDescent="0.25">
      <c r="A199" s="7">
        <f>B199/(1-Assump!$D$4)</f>
        <v>1034.090909090909</v>
      </c>
      <c r="B199" s="1">
        <v>975</v>
      </c>
      <c r="C199" s="9">
        <f t="shared" si="56"/>
        <v>126.42857142857133</v>
      </c>
      <c r="D199">
        <f t="shared" si="57"/>
        <v>126.42857142857133</v>
      </c>
      <c r="E199">
        <f t="shared" si="58"/>
        <v>477</v>
      </c>
      <c r="F199">
        <f t="shared" si="59"/>
        <v>273.57142857142867</v>
      </c>
      <c r="G199">
        <f t="shared" si="60"/>
        <v>400</v>
      </c>
      <c r="H199">
        <f t="shared" si="61"/>
        <v>20</v>
      </c>
      <c r="I199">
        <f t="shared" si="65"/>
        <v>457</v>
      </c>
      <c r="J199">
        <f t="shared" si="55"/>
        <v>5</v>
      </c>
      <c r="L199">
        <f t="shared" si="62"/>
        <v>3525</v>
      </c>
      <c r="M199">
        <f t="shared" si="63"/>
        <v>457</v>
      </c>
      <c r="N199" s="9" t="e">
        <f>IF(OR($B199&gt;Assump!$E$9,$B199&lt;HVDC_Received_Max),NA(),NI_demand*2)</f>
        <v>#N/A</v>
      </c>
      <c r="O199">
        <f t="shared" si="64"/>
        <v>3982</v>
      </c>
      <c r="R199">
        <f t="shared" si="66"/>
        <v>975</v>
      </c>
      <c r="S199" s="3">
        <f t="shared" si="67"/>
        <v>400</v>
      </c>
      <c r="T199">
        <f t="shared" si="68"/>
        <v>126.42857142857133</v>
      </c>
      <c r="U199">
        <f t="shared" si="69"/>
        <v>273.57142857142867</v>
      </c>
      <c r="V199">
        <f t="shared" si="70"/>
        <v>477</v>
      </c>
      <c r="W199">
        <f t="shared" si="71"/>
        <v>477</v>
      </c>
      <c r="X199">
        <f t="shared" si="72"/>
        <v>477</v>
      </c>
    </row>
    <row r="200" spans="1:24" x14ac:dyDescent="0.25">
      <c r="A200" s="7">
        <f>B200/(1-Assump!$D$4)</f>
        <v>1039.3939393939395</v>
      </c>
      <c r="B200" s="1">
        <v>980</v>
      </c>
      <c r="C200" s="9">
        <f t="shared" si="56"/>
        <v>121.42857142857133</v>
      </c>
      <c r="D200">
        <f t="shared" si="57"/>
        <v>121.42857142857133</v>
      </c>
      <c r="E200">
        <f t="shared" si="58"/>
        <v>482</v>
      </c>
      <c r="F200">
        <f t="shared" si="59"/>
        <v>278.57142857142867</v>
      </c>
      <c r="G200">
        <f t="shared" si="60"/>
        <v>400</v>
      </c>
      <c r="H200">
        <f t="shared" si="61"/>
        <v>20</v>
      </c>
      <c r="I200">
        <f t="shared" si="65"/>
        <v>462</v>
      </c>
      <c r="J200">
        <f t="shared" si="55"/>
        <v>5</v>
      </c>
      <c r="L200">
        <f t="shared" si="62"/>
        <v>3520</v>
      </c>
      <c r="M200">
        <f t="shared" si="63"/>
        <v>462</v>
      </c>
      <c r="N200" s="9" t="e">
        <f>IF(OR($B200&gt;Assump!$E$9,$B200&lt;HVDC_Received_Max),NA(),NI_demand*2)</f>
        <v>#N/A</v>
      </c>
      <c r="O200">
        <f t="shared" si="64"/>
        <v>3982</v>
      </c>
      <c r="R200">
        <f t="shared" si="66"/>
        <v>980</v>
      </c>
      <c r="S200" s="3">
        <f t="shared" si="67"/>
        <v>400</v>
      </c>
      <c r="T200">
        <f t="shared" si="68"/>
        <v>121.42857142857133</v>
      </c>
      <c r="U200">
        <f t="shared" si="69"/>
        <v>278.57142857142867</v>
      </c>
      <c r="V200">
        <f t="shared" si="70"/>
        <v>482</v>
      </c>
      <c r="W200">
        <f t="shared" si="71"/>
        <v>482</v>
      </c>
      <c r="X200">
        <f t="shared" si="72"/>
        <v>482</v>
      </c>
    </row>
    <row r="201" spans="1:24" x14ac:dyDescent="0.25">
      <c r="A201" s="7">
        <f>B201/(1-Assump!$D$4)</f>
        <v>1044.6969696969697</v>
      </c>
      <c r="B201" s="1">
        <v>985</v>
      </c>
      <c r="C201" s="9">
        <f t="shared" si="56"/>
        <v>116.42857142857133</v>
      </c>
      <c r="D201">
        <f t="shared" si="57"/>
        <v>116.42857142857133</v>
      </c>
      <c r="E201">
        <f t="shared" si="58"/>
        <v>487</v>
      </c>
      <c r="F201">
        <f t="shared" si="59"/>
        <v>283.57142857142867</v>
      </c>
      <c r="G201">
        <f t="shared" si="60"/>
        <v>400</v>
      </c>
      <c r="H201">
        <f t="shared" si="61"/>
        <v>20</v>
      </c>
      <c r="I201">
        <f t="shared" si="65"/>
        <v>467</v>
      </c>
      <c r="J201">
        <f t="shared" si="55"/>
        <v>5</v>
      </c>
      <c r="L201">
        <f t="shared" si="62"/>
        <v>3515</v>
      </c>
      <c r="M201">
        <f t="shared" si="63"/>
        <v>467</v>
      </c>
      <c r="N201" s="9" t="e">
        <f>IF(OR($B201&gt;Assump!$E$9,$B201&lt;HVDC_Received_Max),NA(),NI_demand*2)</f>
        <v>#N/A</v>
      </c>
      <c r="O201">
        <f t="shared" si="64"/>
        <v>3982</v>
      </c>
      <c r="R201">
        <f t="shared" si="66"/>
        <v>985</v>
      </c>
      <c r="S201" s="3">
        <f t="shared" si="67"/>
        <v>400</v>
      </c>
      <c r="T201">
        <f t="shared" si="68"/>
        <v>116.42857142857133</v>
      </c>
      <c r="U201">
        <f t="shared" si="69"/>
        <v>283.57142857142867</v>
      </c>
      <c r="V201">
        <f t="shared" si="70"/>
        <v>487</v>
      </c>
      <c r="W201">
        <f t="shared" si="71"/>
        <v>487</v>
      </c>
      <c r="X201">
        <f t="shared" si="72"/>
        <v>487</v>
      </c>
    </row>
    <row r="202" spans="1:24" x14ac:dyDescent="0.25">
      <c r="A202" s="7">
        <f>B202/(1-Assump!$D$4)</f>
        <v>1050</v>
      </c>
      <c r="B202" s="1">
        <v>990</v>
      </c>
      <c r="C202" s="9">
        <f t="shared" si="56"/>
        <v>111.42857142857133</v>
      </c>
      <c r="D202">
        <f t="shared" si="57"/>
        <v>111.42857142857133</v>
      </c>
      <c r="E202">
        <f t="shared" si="58"/>
        <v>492</v>
      </c>
      <c r="F202">
        <f t="shared" si="59"/>
        <v>288.57142857142867</v>
      </c>
      <c r="G202">
        <f t="shared" si="60"/>
        <v>400</v>
      </c>
      <c r="H202">
        <f t="shared" si="61"/>
        <v>20</v>
      </c>
      <c r="I202">
        <f t="shared" si="65"/>
        <v>472</v>
      </c>
      <c r="J202">
        <f t="shared" si="55"/>
        <v>5</v>
      </c>
      <c r="L202">
        <f t="shared" si="62"/>
        <v>3510</v>
      </c>
      <c r="M202">
        <f t="shared" si="63"/>
        <v>472</v>
      </c>
      <c r="N202" s="9" t="e">
        <f>IF(OR($B202&gt;Assump!$E$9,$B202&lt;HVDC_Received_Max),NA(),NI_demand*2)</f>
        <v>#N/A</v>
      </c>
      <c r="O202">
        <f t="shared" si="64"/>
        <v>3982</v>
      </c>
      <c r="R202">
        <f t="shared" si="66"/>
        <v>990</v>
      </c>
      <c r="S202" s="3">
        <f t="shared" si="67"/>
        <v>400</v>
      </c>
      <c r="T202">
        <f t="shared" si="68"/>
        <v>111.42857142857133</v>
      </c>
      <c r="U202">
        <f t="shared" si="69"/>
        <v>288.57142857142867</v>
      </c>
      <c r="V202">
        <f t="shared" si="70"/>
        <v>492</v>
      </c>
      <c r="W202">
        <f t="shared" si="71"/>
        <v>492</v>
      </c>
      <c r="X202">
        <f t="shared" si="72"/>
        <v>492</v>
      </c>
    </row>
    <row r="203" spans="1:24" x14ac:dyDescent="0.25">
      <c r="A203" s="7">
        <f>B203/(1-Assump!$D$4)</f>
        <v>1055.3030303030303</v>
      </c>
      <c r="B203" s="1">
        <v>995</v>
      </c>
      <c r="C203" s="9">
        <f t="shared" si="56"/>
        <v>106.42857142857133</v>
      </c>
      <c r="D203">
        <f t="shared" si="57"/>
        <v>106.42857142857133</v>
      </c>
      <c r="E203">
        <f t="shared" si="58"/>
        <v>497</v>
      </c>
      <c r="F203">
        <f t="shared" si="59"/>
        <v>293.57142857142867</v>
      </c>
      <c r="G203">
        <f t="shared" si="60"/>
        <v>400</v>
      </c>
      <c r="H203">
        <f t="shared" si="61"/>
        <v>20</v>
      </c>
      <c r="I203">
        <f t="shared" si="65"/>
        <v>477</v>
      </c>
      <c r="J203">
        <f t="shared" si="55"/>
        <v>5</v>
      </c>
      <c r="L203">
        <f t="shared" si="62"/>
        <v>3505</v>
      </c>
      <c r="M203">
        <f t="shared" si="63"/>
        <v>477</v>
      </c>
      <c r="N203" s="9" t="e">
        <f>IF(OR($B203&gt;Assump!$E$9,$B203&lt;HVDC_Received_Max),NA(),NI_demand*2)</f>
        <v>#N/A</v>
      </c>
      <c r="O203">
        <f t="shared" si="64"/>
        <v>3982</v>
      </c>
      <c r="R203">
        <f t="shared" si="66"/>
        <v>995</v>
      </c>
      <c r="S203" s="3">
        <f t="shared" si="67"/>
        <v>400</v>
      </c>
      <c r="T203">
        <f t="shared" si="68"/>
        <v>106.42857142857133</v>
      </c>
      <c r="U203">
        <f t="shared" si="69"/>
        <v>293.57142857142867</v>
      </c>
      <c r="V203">
        <f t="shared" si="70"/>
        <v>497</v>
      </c>
      <c r="W203">
        <f t="shared" si="71"/>
        <v>497</v>
      </c>
      <c r="X203">
        <f t="shared" si="72"/>
        <v>497</v>
      </c>
    </row>
    <row r="204" spans="1:24" x14ac:dyDescent="0.25">
      <c r="A204" s="7">
        <f>B204/(1-Assump!$D$4)</f>
        <v>1060.6060606060607</v>
      </c>
      <c r="B204" s="1">
        <v>1000</v>
      </c>
      <c r="C204" s="9">
        <f t="shared" si="56"/>
        <v>101.42857142857133</v>
      </c>
      <c r="D204">
        <f t="shared" si="57"/>
        <v>101.42857142857133</v>
      </c>
      <c r="E204">
        <f t="shared" si="58"/>
        <v>502</v>
      </c>
      <c r="F204">
        <f t="shared" si="59"/>
        <v>298.57142857142867</v>
      </c>
      <c r="G204">
        <f t="shared" si="60"/>
        <v>400</v>
      </c>
      <c r="H204">
        <f t="shared" si="61"/>
        <v>20</v>
      </c>
      <c r="I204">
        <f t="shared" si="65"/>
        <v>482</v>
      </c>
      <c r="J204">
        <f t="shared" si="55"/>
        <v>5</v>
      </c>
      <c r="L204">
        <f t="shared" si="62"/>
        <v>3500</v>
      </c>
      <c r="M204">
        <f t="shared" si="63"/>
        <v>482</v>
      </c>
      <c r="N204" s="9" t="e">
        <f>IF(OR($B204&gt;Assump!$E$9,$B204&lt;HVDC_Received_Max),NA(),NI_demand*2)</f>
        <v>#N/A</v>
      </c>
      <c r="O204">
        <f t="shared" si="64"/>
        <v>3982</v>
      </c>
      <c r="R204">
        <f t="shared" si="66"/>
        <v>1000</v>
      </c>
      <c r="S204" s="3">
        <f t="shared" si="67"/>
        <v>400</v>
      </c>
      <c r="T204">
        <f t="shared" si="68"/>
        <v>101.42857142857133</v>
      </c>
      <c r="U204">
        <f t="shared" si="69"/>
        <v>298.57142857142867</v>
      </c>
      <c r="V204">
        <f t="shared" si="70"/>
        <v>502</v>
      </c>
      <c r="W204">
        <f t="shared" si="71"/>
        <v>502</v>
      </c>
      <c r="X204">
        <f t="shared" si="72"/>
        <v>502</v>
      </c>
    </row>
    <row r="205" spans="1:24" x14ac:dyDescent="0.25">
      <c r="A205" s="7">
        <f>B205/(1-Assump!$D$4)</f>
        <v>1065.909090909091</v>
      </c>
      <c r="B205" s="1">
        <v>1005</v>
      </c>
      <c r="C205" s="9">
        <f t="shared" si="56"/>
        <v>96.428571428571331</v>
      </c>
      <c r="D205">
        <f t="shared" si="57"/>
        <v>96.428571428571331</v>
      </c>
      <c r="E205">
        <f t="shared" si="58"/>
        <v>507</v>
      </c>
      <c r="F205">
        <f t="shared" si="59"/>
        <v>303.57142857142867</v>
      </c>
      <c r="G205">
        <f t="shared" si="60"/>
        <v>400</v>
      </c>
      <c r="H205">
        <f t="shared" si="61"/>
        <v>20</v>
      </c>
      <c r="I205">
        <f t="shared" si="65"/>
        <v>487</v>
      </c>
      <c r="J205">
        <f t="shared" si="55"/>
        <v>5</v>
      </c>
      <c r="L205">
        <f t="shared" si="62"/>
        <v>3495</v>
      </c>
      <c r="M205">
        <f t="shared" si="63"/>
        <v>487</v>
      </c>
      <c r="N205" s="9" t="e">
        <f>IF(OR($B205&gt;Assump!$E$9,$B205&lt;HVDC_Received_Max),NA(),NI_demand*2)</f>
        <v>#N/A</v>
      </c>
      <c r="O205">
        <f t="shared" si="64"/>
        <v>3982</v>
      </c>
      <c r="R205">
        <f t="shared" si="66"/>
        <v>1005</v>
      </c>
      <c r="S205" s="3">
        <f t="shared" si="67"/>
        <v>400</v>
      </c>
      <c r="T205">
        <f t="shared" si="68"/>
        <v>96.428571428571331</v>
      </c>
      <c r="U205">
        <f t="shared" si="69"/>
        <v>303.57142857142867</v>
      </c>
      <c r="V205">
        <f t="shared" si="70"/>
        <v>507</v>
      </c>
      <c r="W205">
        <f t="shared" si="71"/>
        <v>507</v>
      </c>
      <c r="X205">
        <f t="shared" si="72"/>
        <v>507</v>
      </c>
    </row>
    <row r="206" spans="1:24" x14ac:dyDescent="0.25">
      <c r="A206" s="7">
        <f>B206/(1-Assump!$D$4)</f>
        <v>1071.2121212121212</v>
      </c>
      <c r="B206" s="1">
        <v>1010</v>
      </c>
      <c r="C206" s="9">
        <f t="shared" si="56"/>
        <v>91.428571428571331</v>
      </c>
      <c r="D206">
        <f t="shared" si="57"/>
        <v>91.428571428571331</v>
      </c>
      <c r="E206">
        <f t="shared" si="58"/>
        <v>512</v>
      </c>
      <c r="F206">
        <f t="shared" si="59"/>
        <v>308.57142857142867</v>
      </c>
      <c r="G206">
        <f t="shared" si="60"/>
        <v>400</v>
      </c>
      <c r="H206">
        <f t="shared" si="61"/>
        <v>20</v>
      </c>
      <c r="I206">
        <f t="shared" si="65"/>
        <v>492</v>
      </c>
      <c r="J206">
        <f t="shared" si="55"/>
        <v>5</v>
      </c>
      <c r="L206">
        <f t="shared" si="62"/>
        <v>3490</v>
      </c>
      <c r="M206">
        <f t="shared" si="63"/>
        <v>492</v>
      </c>
      <c r="N206" s="9" t="e">
        <f>IF(OR($B206&gt;Assump!$E$9,$B206&lt;HVDC_Received_Max),NA(),NI_demand*2)</f>
        <v>#N/A</v>
      </c>
      <c r="O206">
        <f t="shared" si="64"/>
        <v>3982</v>
      </c>
      <c r="R206">
        <f t="shared" si="66"/>
        <v>1010</v>
      </c>
      <c r="S206" s="3">
        <f t="shared" si="67"/>
        <v>400</v>
      </c>
      <c r="T206">
        <f t="shared" si="68"/>
        <v>91.428571428571331</v>
      </c>
      <c r="U206">
        <f t="shared" si="69"/>
        <v>308.57142857142867</v>
      </c>
      <c r="V206">
        <f t="shared" si="70"/>
        <v>512</v>
      </c>
      <c r="W206">
        <f t="shared" si="71"/>
        <v>512</v>
      </c>
      <c r="X206">
        <f t="shared" si="72"/>
        <v>512</v>
      </c>
    </row>
    <row r="207" spans="1:24" x14ac:dyDescent="0.25">
      <c r="A207" s="7">
        <f>B207/(1-Assump!$D$4)</f>
        <v>1076.5151515151515</v>
      </c>
      <c r="B207" s="1">
        <v>1015</v>
      </c>
      <c r="C207" s="9">
        <f t="shared" si="56"/>
        <v>86.428571428571331</v>
      </c>
      <c r="D207">
        <f t="shared" si="57"/>
        <v>86.428571428571331</v>
      </c>
      <c r="E207">
        <f t="shared" si="58"/>
        <v>517</v>
      </c>
      <c r="F207">
        <f t="shared" si="59"/>
        <v>313.57142857142867</v>
      </c>
      <c r="G207">
        <f t="shared" si="60"/>
        <v>400</v>
      </c>
      <c r="H207">
        <f t="shared" si="61"/>
        <v>20</v>
      </c>
      <c r="I207">
        <f t="shared" si="65"/>
        <v>497</v>
      </c>
      <c r="J207">
        <f t="shared" si="55"/>
        <v>5</v>
      </c>
      <c r="L207">
        <f t="shared" si="62"/>
        <v>3485</v>
      </c>
      <c r="M207">
        <f t="shared" si="63"/>
        <v>497</v>
      </c>
      <c r="N207" s="9" t="e">
        <f>IF(OR($B207&gt;Assump!$E$9,$B207&lt;HVDC_Received_Max),NA(),NI_demand*2)</f>
        <v>#N/A</v>
      </c>
      <c r="O207">
        <f t="shared" si="64"/>
        <v>3982</v>
      </c>
      <c r="R207">
        <f t="shared" si="66"/>
        <v>1015</v>
      </c>
      <c r="S207" s="3">
        <f t="shared" si="67"/>
        <v>400</v>
      </c>
      <c r="T207">
        <f t="shared" si="68"/>
        <v>86.428571428571331</v>
      </c>
      <c r="U207">
        <f t="shared" si="69"/>
        <v>313.57142857142867</v>
      </c>
      <c r="V207">
        <f t="shared" si="70"/>
        <v>517</v>
      </c>
      <c r="W207">
        <f t="shared" si="71"/>
        <v>517</v>
      </c>
      <c r="X207">
        <f t="shared" si="72"/>
        <v>517</v>
      </c>
    </row>
    <row r="208" spans="1:24" x14ac:dyDescent="0.25">
      <c r="A208" s="7">
        <f>B208/(1-Assump!$D$4)</f>
        <v>1081.8181818181818</v>
      </c>
      <c r="B208" s="1">
        <v>1020</v>
      </c>
      <c r="C208" s="9">
        <f t="shared" si="56"/>
        <v>81.428571428571331</v>
      </c>
      <c r="D208">
        <f t="shared" si="57"/>
        <v>81.428571428571331</v>
      </c>
      <c r="E208">
        <f t="shared" si="58"/>
        <v>522</v>
      </c>
      <c r="F208">
        <f t="shared" si="59"/>
        <v>318.57142857142867</v>
      </c>
      <c r="G208">
        <f t="shared" si="60"/>
        <v>400</v>
      </c>
      <c r="H208">
        <f t="shared" si="61"/>
        <v>20</v>
      </c>
      <c r="I208">
        <f t="shared" si="65"/>
        <v>502</v>
      </c>
      <c r="J208">
        <f t="shared" si="55"/>
        <v>5</v>
      </c>
      <c r="L208">
        <f t="shared" si="62"/>
        <v>3480</v>
      </c>
      <c r="M208">
        <f t="shared" si="63"/>
        <v>502</v>
      </c>
      <c r="N208" s="9" t="e">
        <f>IF(OR($B208&gt;Assump!$E$9,$B208&lt;HVDC_Received_Max),NA(),NI_demand*2)</f>
        <v>#N/A</v>
      </c>
      <c r="O208">
        <f t="shared" si="64"/>
        <v>3982</v>
      </c>
      <c r="R208">
        <f t="shared" si="66"/>
        <v>1020</v>
      </c>
      <c r="S208" s="3">
        <f t="shared" si="67"/>
        <v>400</v>
      </c>
      <c r="T208">
        <f t="shared" si="68"/>
        <v>81.428571428571331</v>
      </c>
      <c r="U208">
        <f t="shared" si="69"/>
        <v>318.57142857142867</v>
      </c>
      <c r="V208">
        <f t="shared" si="70"/>
        <v>522</v>
      </c>
      <c r="W208">
        <f t="shared" si="71"/>
        <v>522</v>
      </c>
      <c r="X208">
        <f t="shared" si="72"/>
        <v>522</v>
      </c>
    </row>
    <row r="209" spans="1:24" x14ac:dyDescent="0.25">
      <c r="A209" s="7">
        <f>B209/(1-Assump!$D$4)</f>
        <v>1087.1212121212122</v>
      </c>
      <c r="B209" s="1">
        <v>1025</v>
      </c>
      <c r="C209" s="9">
        <f t="shared" si="56"/>
        <v>76.428571428571331</v>
      </c>
      <c r="D209">
        <f t="shared" si="57"/>
        <v>76.428571428571331</v>
      </c>
      <c r="E209">
        <f t="shared" si="58"/>
        <v>527</v>
      </c>
      <c r="F209">
        <f t="shared" si="59"/>
        <v>323.57142857142867</v>
      </c>
      <c r="G209">
        <f t="shared" si="60"/>
        <v>400</v>
      </c>
      <c r="H209">
        <f t="shared" si="61"/>
        <v>20</v>
      </c>
      <c r="I209">
        <f t="shared" si="65"/>
        <v>507</v>
      </c>
      <c r="J209">
        <f t="shared" si="55"/>
        <v>5</v>
      </c>
      <c r="L209">
        <f t="shared" si="62"/>
        <v>3475</v>
      </c>
      <c r="M209">
        <f t="shared" si="63"/>
        <v>507</v>
      </c>
      <c r="N209" s="9" t="e">
        <f>IF(OR($B209&gt;Assump!$E$9,$B209&lt;HVDC_Received_Max),NA(),NI_demand*2)</f>
        <v>#N/A</v>
      </c>
      <c r="O209">
        <f t="shared" si="64"/>
        <v>3982</v>
      </c>
      <c r="R209">
        <f t="shared" si="66"/>
        <v>1025</v>
      </c>
      <c r="S209" s="3">
        <f t="shared" si="67"/>
        <v>400</v>
      </c>
      <c r="T209">
        <f t="shared" si="68"/>
        <v>76.428571428571331</v>
      </c>
      <c r="U209">
        <f t="shared" si="69"/>
        <v>323.57142857142867</v>
      </c>
      <c r="V209">
        <f t="shared" si="70"/>
        <v>527</v>
      </c>
      <c r="W209">
        <f t="shared" si="71"/>
        <v>527</v>
      </c>
      <c r="X209">
        <f t="shared" si="72"/>
        <v>527</v>
      </c>
    </row>
    <row r="210" spans="1:24" x14ac:dyDescent="0.25">
      <c r="A210" s="7">
        <f>B210/(1-Assump!$D$4)</f>
        <v>1092.4242424242425</v>
      </c>
      <c r="B210" s="1">
        <v>1030</v>
      </c>
      <c r="C210" s="9">
        <f t="shared" si="56"/>
        <v>71.428571428571331</v>
      </c>
      <c r="D210">
        <f t="shared" si="57"/>
        <v>71.428571428571331</v>
      </c>
      <c r="E210">
        <f t="shared" si="58"/>
        <v>532</v>
      </c>
      <c r="F210">
        <f t="shared" si="59"/>
        <v>328.57142857142867</v>
      </c>
      <c r="G210">
        <f t="shared" si="60"/>
        <v>400</v>
      </c>
      <c r="H210">
        <f t="shared" si="61"/>
        <v>20</v>
      </c>
      <c r="I210">
        <f t="shared" si="65"/>
        <v>512</v>
      </c>
      <c r="J210">
        <f t="shared" si="55"/>
        <v>5</v>
      </c>
      <c r="L210">
        <f t="shared" si="62"/>
        <v>3470</v>
      </c>
      <c r="M210">
        <f t="shared" si="63"/>
        <v>512</v>
      </c>
      <c r="N210" s="9" t="e">
        <f>IF(OR($B210&gt;Assump!$E$9,$B210&lt;HVDC_Received_Max),NA(),NI_demand*2)</f>
        <v>#N/A</v>
      </c>
      <c r="O210">
        <f t="shared" si="64"/>
        <v>3982</v>
      </c>
      <c r="R210">
        <f t="shared" si="66"/>
        <v>1030</v>
      </c>
      <c r="S210" s="3">
        <f t="shared" si="67"/>
        <v>400</v>
      </c>
      <c r="T210">
        <f t="shared" si="68"/>
        <v>71.428571428571331</v>
      </c>
      <c r="U210">
        <f t="shared" si="69"/>
        <v>328.57142857142867</v>
      </c>
      <c r="V210">
        <f t="shared" si="70"/>
        <v>532</v>
      </c>
      <c r="W210">
        <f t="shared" si="71"/>
        <v>532</v>
      </c>
      <c r="X210">
        <f t="shared" si="72"/>
        <v>532</v>
      </c>
    </row>
    <row r="211" spans="1:24" x14ac:dyDescent="0.25">
      <c r="A211" s="7">
        <f>B211/(1-Assump!$D$4)</f>
        <v>1097.7272727272727</v>
      </c>
      <c r="B211" s="1">
        <v>1035</v>
      </c>
      <c r="C211" s="9">
        <f t="shared" si="56"/>
        <v>66.428571428571331</v>
      </c>
      <c r="D211">
        <f t="shared" si="57"/>
        <v>66.428571428571331</v>
      </c>
      <c r="E211">
        <f t="shared" si="58"/>
        <v>537</v>
      </c>
      <c r="F211">
        <f t="shared" si="59"/>
        <v>333.57142857142867</v>
      </c>
      <c r="G211">
        <f t="shared" si="60"/>
        <v>400</v>
      </c>
      <c r="H211">
        <f t="shared" si="61"/>
        <v>20</v>
      </c>
      <c r="I211">
        <f t="shared" si="65"/>
        <v>517</v>
      </c>
      <c r="J211">
        <f t="shared" si="55"/>
        <v>5</v>
      </c>
      <c r="L211">
        <f t="shared" si="62"/>
        <v>3465</v>
      </c>
      <c r="M211">
        <f t="shared" si="63"/>
        <v>517</v>
      </c>
      <c r="N211" s="9" t="e">
        <f>IF(OR($B211&gt;Assump!$E$9,$B211&lt;HVDC_Received_Max),NA(),NI_demand*2)</f>
        <v>#N/A</v>
      </c>
      <c r="O211">
        <f t="shared" si="64"/>
        <v>3982</v>
      </c>
      <c r="R211">
        <f t="shared" si="66"/>
        <v>1035</v>
      </c>
      <c r="S211" s="3">
        <f t="shared" si="67"/>
        <v>400</v>
      </c>
      <c r="T211">
        <f t="shared" si="68"/>
        <v>66.428571428571331</v>
      </c>
      <c r="U211">
        <f t="shared" si="69"/>
        <v>333.57142857142867</v>
      </c>
      <c r="V211">
        <f t="shared" si="70"/>
        <v>537</v>
      </c>
      <c r="W211">
        <f t="shared" si="71"/>
        <v>537</v>
      </c>
      <c r="X211">
        <f t="shared" si="72"/>
        <v>537</v>
      </c>
    </row>
    <row r="212" spans="1:24" x14ac:dyDescent="0.25">
      <c r="A212" s="7">
        <f>B212/(1-Assump!$D$4)</f>
        <v>1103.030303030303</v>
      </c>
      <c r="B212" s="1">
        <v>1040</v>
      </c>
      <c r="C212" s="9">
        <f t="shared" si="56"/>
        <v>61.428571428571331</v>
      </c>
      <c r="D212">
        <f t="shared" si="57"/>
        <v>61.428571428571331</v>
      </c>
      <c r="E212">
        <f t="shared" si="58"/>
        <v>542</v>
      </c>
      <c r="F212">
        <f t="shared" si="59"/>
        <v>338.57142857142867</v>
      </c>
      <c r="G212">
        <f t="shared" si="60"/>
        <v>400</v>
      </c>
      <c r="H212">
        <f t="shared" si="61"/>
        <v>20</v>
      </c>
      <c r="I212">
        <f t="shared" si="65"/>
        <v>522</v>
      </c>
      <c r="J212">
        <f t="shared" si="55"/>
        <v>5</v>
      </c>
      <c r="L212">
        <f t="shared" si="62"/>
        <v>3460</v>
      </c>
      <c r="M212">
        <f t="shared" si="63"/>
        <v>522</v>
      </c>
      <c r="N212" s="9" t="e">
        <f>IF(OR($B212&gt;Assump!$E$9,$B212&lt;HVDC_Received_Max),NA(),NI_demand*2)</f>
        <v>#N/A</v>
      </c>
      <c r="O212">
        <f t="shared" si="64"/>
        <v>3982</v>
      </c>
      <c r="R212">
        <f t="shared" si="66"/>
        <v>1040</v>
      </c>
      <c r="S212" s="3">
        <f t="shared" si="67"/>
        <v>400</v>
      </c>
      <c r="T212">
        <f t="shared" si="68"/>
        <v>61.428571428571331</v>
      </c>
      <c r="U212">
        <f t="shared" si="69"/>
        <v>338.57142857142867</v>
      </c>
      <c r="V212">
        <f t="shared" si="70"/>
        <v>542</v>
      </c>
      <c r="W212">
        <f t="shared" si="71"/>
        <v>542</v>
      </c>
      <c r="X212">
        <f t="shared" si="72"/>
        <v>542</v>
      </c>
    </row>
    <row r="213" spans="1:24" x14ac:dyDescent="0.25">
      <c r="A213" s="7">
        <f>B213/(1-Assump!$D$4)</f>
        <v>1108.3333333333333</v>
      </c>
      <c r="B213" s="1">
        <v>1045</v>
      </c>
      <c r="C213" s="9">
        <f t="shared" si="56"/>
        <v>56.428571428571331</v>
      </c>
      <c r="D213">
        <f t="shared" si="57"/>
        <v>56.428571428571331</v>
      </c>
      <c r="E213">
        <f t="shared" si="58"/>
        <v>547</v>
      </c>
      <c r="F213">
        <f t="shared" si="59"/>
        <v>343.57142857142867</v>
      </c>
      <c r="G213">
        <f t="shared" si="60"/>
        <v>400</v>
      </c>
      <c r="H213">
        <f t="shared" si="61"/>
        <v>20</v>
      </c>
      <c r="I213">
        <f t="shared" si="65"/>
        <v>527</v>
      </c>
      <c r="J213">
        <f t="shared" si="55"/>
        <v>5</v>
      </c>
      <c r="L213">
        <f t="shared" si="62"/>
        <v>3455</v>
      </c>
      <c r="M213">
        <f t="shared" si="63"/>
        <v>527</v>
      </c>
      <c r="N213" s="9" t="e">
        <f>IF(OR($B213&gt;Assump!$E$9,$B213&lt;HVDC_Received_Max),NA(),NI_demand*2)</f>
        <v>#N/A</v>
      </c>
      <c r="O213">
        <f t="shared" si="64"/>
        <v>3982</v>
      </c>
      <c r="R213">
        <f t="shared" si="66"/>
        <v>1045</v>
      </c>
      <c r="S213" s="3">
        <f t="shared" si="67"/>
        <v>400</v>
      </c>
      <c r="T213">
        <f t="shared" si="68"/>
        <v>56.428571428571331</v>
      </c>
      <c r="U213">
        <f t="shared" si="69"/>
        <v>343.57142857142867</v>
      </c>
      <c r="V213">
        <f t="shared" si="70"/>
        <v>547</v>
      </c>
      <c r="W213">
        <f t="shared" si="71"/>
        <v>547</v>
      </c>
      <c r="X213">
        <f t="shared" si="72"/>
        <v>547</v>
      </c>
    </row>
    <row r="214" spans="1:24" x14ac:dyDescent="0.25">
      <c r="A214" s="7">
        <f>B214/(1-Assump!$D$4)</f>
        <v>1113.6363636363637</v>
      </c>
      <c r="B214" s="1">
        <v>1050</v>
      </c>
      <c r="C214" s="9">
        <f t="shared" si="56"/>
        <v>51.428571428571331</v>
      </c>
      <c r="D214">
        <f t="shared" si="57"/>
        <v>51.428571428571331</v>
      </c>
      <c r="E214">
        <f t="shared" si="58"/>
        <v>552</v>
      </c>
      <c r="F214">
        <f t="shared" si="59"/>
        <v>348.57142857142867</v>
      </c>
      <c r="G214">
        <f t="shared" si="60"/>
        <v>400</v>
      </c>
      <c r="H214">
        <f t="shared" si="61"/>
        <v>20</v>
      </c>
      <c r="I214">
        <f t="shared" si="65"/>
        <v>532</v>
      </c>
      <c r="J214">
        <f t="shared" si="55"/>
        <v>5</v>
      </c>
      <c r="L214">
        <f t="shared" si="62"/>
        <v>3450</v>
      </c>
      <c r="M214">
        <f t="shared" si="63"/>
        <v>532</v>
      </c>
      <c r="N214" s="9" t="e">
        <f>IF(OR($B214&gt;Assump!$E$9,$B214&lt;HVDC_Received_Max),NA(),NI_demand*2)</f>
        <v>#N/A</v>
      </c>
      <c r="O214">
        <f t="shared" si="64"/>
        <v>3982</v>
      </c>
      <c r="R214">
        <f t="shared" si="66"/>
        <v>1050</v>
      </c>
      <c r="S214" s="3">
        <f t="shared" si="67"/>
        <v>400</v>
      </c>
      <c r="T214">
        <f t="shared" si="68"/>
        <v>51.428571428571331</v>
      </c>
      <c r="U214">
        <f t="shared" si="69"/>
        <v>348.57142857142867</v>
      </c>
      <c r="V214">
        <f t="shared" si="70"/>
        <v>552</v>
      </c>
      <c r="W214">
        <f t="shared" si="71"/>
        <v>552</v>
      </c>
      <c r="X214">
        <f t="shared" si="72"/>
        <v>552</v>
      </c>
    </row>
    <row r="215" spans="1:24" x14ac:dyDescent="0.25">
      <c r="A215" s="7">
        <f>B215/(1-Assump!$D$4)</f>
        <v>1118.939393939394</v>
      </c>
      <c r="B215" s="1">
        <v>1055</v>
      </c>
      <c r="C215" s="9">
        <f t="shared" si="56"/>
        <v>46.428571428571331</v>
      </c>
      <c r="D215">
        <f t="shared" si="57"/>
        <v>46.428571428571331</v>
      </c>
      <c r="E215">
        <f t="shared" si="58"/>
        <v>557</v>
      </c>
      <c r="F215">
        <f t="shared" si="59"/>
        <v>353.57142857142867</v>
      </c>
      <c r="G215">
        <f t="shared" si="60"/>
        <v>400</v>
      </c>
      <c r="H215">
        <f t="shared" si="61"/>
        <v>20</v>
      </c>
      <c r="I215">
        <f t="shared" si="65"/>
        <v>537</v>
      </c>
      <c r="J215">
        <f t="shared" si="55"/>
        <v>5</v>
      </c>
      <c r="L215">
        <f t="shared" si="62"/>
        <v>3445</v>
      </c>
      <c r="M215">
        <f t="shared" si="63"/>
        <v>537</v>
      </c>
      <c r="N215" s="9" t="e">
        <f>IF(OR($B215&gt;Assump!$E$9,$B215&lt;HVDC_Received_Max),NA(),NI_demand*2)</f>
        <v>#N/A</v>
      </c>
      <c r="O215">
        <f t="shared" si="64"/>
        <v>3982</v>
      </c>
      <c r="R215">
        <f t="shared" si="66"/>
        <v>1055</v>
      </c>
      <c r="S215" s="3">
        <f t="shared" si="67"/>
        <v>400</v>
      </c>
      <c r="T215">
        <f t="shared" si="68"/>
        <v>46.428571428571331</v>
      </c>
      <c r="U215">
        <f t="shared" si="69"/>
        <v>353.57142857142867</v>
      </c>
      <c r="V215">
        <f t="shared" si="70"/>
        <v>557</v>
      </c>
      <c r="W215">
        <f t="shared" si="71"/>
        <v>557</v>
      </c>
      <c r="X215">
        <f t="shared" si="72"/>
        <v>557</v>
      </c>
    </row>
    <row r="216" spans="1:24" x14ac:dyDescent="0.25">
      <c r="A216" s="7">
        <f>B216/(1-Assump!$D$4)</f>
        <v>1124.2424242424242</v>
      </c>
      <c r="B216" s="1">
        <v>1060</v>
      </c>
      <c r="C216" s="9">
        <f t="shared" si="56"/>
        <v>41.428571428571331</v>
      </c>
      <c r="D216">
        <f t="shared" si="57"/>
        <v>41.428571428571331</v>
      </c>
      <c r="E216">
        <f t="shared" si="58"/>
        <v>562</v>
      </c>
      <c r="F216">
        <f t="shared" si="59"/>
        <v>358.57142857142867</v>
      </c>
      <c r="G216">
        <f t="shared" si="60"/>
        <v>400</v>
      </c>
      <c r="H216">
        <f t="shared" si="61"/>
        <v>20</v>
      </c>
      <c r="I216">
        <f t="shared" si="65"/>
        <v>542</v>
      </c>
      <c r="J216">
        <f t="shared" si="55"/>
        <v>5</v>
      </c>
      <c r="L216">
        <f t="shared" si="62"/>
        <v>3440</v>
      </c>
      <c r="M216">
        <f t="shared" si="63"/>
        <v>542</v>
      </c>
      <c r="N216" s="9" t="e">
        <f>IF(OR($B216&gt;Assump!$E$9,$B216&lt;HVDC_Received_Max),NA(),NI_demand*2)</f>
        <v>#N/A</v>
      </c>
      <c r="O216">
        <f t="shared" si="64"/>
        <v>3982</v>
      </c>
      <c r="R216">
        <f t="shared" si="66"/>
        <v>1060</v>
      </c>
      <c r="S216" s="3">
        <f t="shared" si="67"/>
        <v>400</v>
      </c>
      <c r="T216">
        <f t="shared" si="68"/>
        <v>41.428571428571331</v>
      </c>
      <c r="U216">
        <f t="shared" si="69"/>
        <v>358.57142857142867</v>
      </c>
      <c r="V216">
        <f t="shared" si="70"/>
        <v>562</v>
      </c>
      <c r="W216">
        <f t="shared" si="71"/>
        <v>562</v>
      </c>
      <c r="X216">
        <f t="shared" si="72"/>
        <v>562</v>
      </c>
    </row>
    <row r="217" spans="1:24" x14ac:dyDescent="0.25">
      <c r="A217" s="7">
        <f>B217/(1-Assump!$D$4)</f>
        <v>1129.5454545454545</v>
      </c>
      <c r="B217" s="1">
        <v>1065</v>
      </c>
      <c r="C217" s="9">
        <f t="shared" si="56"/>
        <v>36.428571428571331</v>
      </c>
      <c r="D217">
        <f t="shared" si="57"/>
        <v>36.428571428571331</v>
      </c>
      <c r="E217">
        <f t="shared" si="58"/>
        <v>567</v>
      </c>
      <c r="F217">
        <f t="shared" si="59"/>
        <v>363.57142857142867</v>
      </c>
      <c r="G217">
        <f t="shared" si="60"/>
        <v>400</v>
      </c>
      <c r="H217">
        <f t="shared" si="61"/>
        <v>20</v>
      </c>
      <c r="I217">
        <f t="shared" si="65"/>
        <v>547</v>
      </c>
      <c r="J217">
        <f t="shared" si="55"/>
        <v>5</v>
      </c>
      <c r="L217">
        <f t="shared" si="62"/>
        <v>3435</v>
      </c>
      <c r="M217">
        <f t="shared" si="63"/>
        <v>547</v>
      </c>
      <c r="N217" s="9" t="e">
        <f>IF(OR($B217&gt;Assump!$E$9,$B217&lt;HVDC_Received_Max),NA(),NI_demand*2)</f>
        <v>#N/A</v>
      </c>
      <c r="O217">
        <f t="shared" si="64"/>
        <v>3982</v>
      </c>
      <c r="R217">
        <f t="shared" si="66"/>
        <v>1065</v>
      </c>
      <c r="S217" s="3">
        <f t="shared" si="67"/>
        <v>400</v>
      </c>
      <c r="T217">
        <f t="shared" si="68"/>
        <v>36.428571428571331</v>
      </c>
      <c r="U217">
        <f t="shared" si="69"/>
        <v>363.57142857142867</v>
      </c>
      <c r="V217">
        <f t="shared" si="70"/>
        <v>567</v>
      </c>
      <c r="W217">
        <f t="shared" si="71"/>
        <v>567</v>
      </c>
      <c r="X217">
        <f t="shared" si="72"/>
        <v>567</v>
      </c>
    </row>
    <row r="218" spans="1:24" x14ac:dyDescent="0.25">
      <c r="A218" s="7">
        <f>B218/(1-Assump!$D$4)</f>
        <v>1134.8484848484848</v>
      </c>
      <c r="B218" s="1">
        <v>1070</v>
      </c>
      <c r="C218" s="9">
        <f t="shared" si="56"/>
        <v>31.428571428571331</v>
      </c>
      <c r="D218">
        <f t="shared" si="57"/>
        <v>31.428571428571331</v>
      </c>
      <c r="E218">
        <f t="shared" si="58"/>
        <v>572</v>
      </c>
      <c r="F218">
        <f t="shared" si="59"/>
        <v>368.57142857142867</v>
      </c>
      <c r="G218">
        <f t="shared" si="60"/>
        <v>400</v>
      </c>
      <c r="H218">
        <f t="shared" si="61"/>
        <v>20</v>
      </c>
      <c r="I218">
        <f t="shared" si="65"/>
        <v>552</v>
      </c>
      <c r="J218">
        <f t="shared" si="55"/>
        <v>5</v>
      </c>
      <c r="L218">
        <f t="shared" si="62"/>
        <v>3430</v>
      </c>
      <c r="M218">
        <f t="shared" si="63"/>
        <v>552</v>
      </c>
      <c r="N218" s="9" t="e">
        <f>IF(OR($B218&gt;Assump!$E$9,$B218&lt;HVDC_Received_Max),NA(),NI_demand*2)</f>
        <v>#N/A</v>
      </c>
      <c r="O218">
        <f t="shared" si="64"/>
        <v>3982</v>
      </c>
      <c r="R218">
        <f t="shared" si="66"/>
        <v>1070</v>
      </c>
      <c r="S218" s="3">
        <f t="shared" si="67"/>
        <v>400</v>
      </c>
      <c r="T218">
        <f t="shared" si="68"/>
        <v>31.428571428571331</v>
      </c>
      <c r="U218">
        <f t="shared" si="69"/>
        <v>368.57142857142867</v>
      </c>
      <c r="V218">
        <f t="shared" si="70"/>
        <v>572</v>
      </c>
      <c r="W218">
        <f t="shared" si="71"/>
        <v>572</v>
      </c>
      <c r="X218">
        <f t="shared" si="72"/>
        <v>572</v>
      </c>
    </row>
    <row r="219" spans="1:24" x14ac:dyDescent="0.25">
      <c r="A219" s="7">
        <f>B219/(1-Assump!$D$4)</f>
        <v>1140.1515151515152</v>
      </c>
      <c r="B219" s="1">
        <v>1075</v>
      </c>
      <c r="C219" s="9">
        <f t="shared" si="56"/>
        <v>26.428571428571331</v>
      </c>
      <c r="D219">
        <f t="shared" si="57"/>
        <v>26.428571428571331</v>
      </c>
      <c r="E219">
        <f t="shared" si="58"/>
        <v>577</v>
      </c>
      <c r="F219">
        <f t="shared" si="59"/>
        <v>373.57142857142867</v>
      </c>
      <c r="G219">
        <f t="shared" si="60"/>
        <v>400</v>
      </c>
      <c r="H219">
        <f t="shared" si="61"/>
        <v>20</v>
      </c>
      <c r="I219">
        <f t="shared" si="65"/>
        <v>557</v>
      </c>
      <c r="J219">
        <f t="shared" si="55"/>
        <v>5</v>
      </c>
      <c r="L219">
        <f t="shared" si="62"/>
        <v>3425</v>
      </c>
      <c r="M219">
        <f t="shared" si="63"/>
        <v>557</v>
      </c>
      <c r="N219" s="9" t="e">
        <f>IF(OR($B219&gt;Assump!$E$9,$B219&lt;HVDC_Received_Max),NA(),NI_demand*2)</f>
        <v>#N/A</v>
      </c>
      <c r="O219">
        <f t="shared" si="64"/>
        <v>3982</v>
      </c>
      <c r="R219">
        <f t="shared" si="66"/>
        <v>1075</v>
      </c>
      <c r="S219" s="3">
        <f t="shared" si="67"/>
        <v>400</v>
      </c>
      <c r="T219">
        <f t="shared" si="68"/>
        <v>26.428571428571331</v>
      </c>
      <c r="U219">
        <f t="shared" si="69"/>
        <v>373.57142857142867</v>
      </c>
      <c r="V219">
        <f t="shared" si="70"/>
        <v>577</v>
      </c>
      <c r="W219">
        <f t="shared" si="71"/>
        <v>577</v>
      </c>
      <c r="X219">
        <f t="shared" si="72"/>
        <v>577</v>
      </c>
    </row>
    <row r="220" spans="1:24" x14ac:dyDescent="0.25">
      <c r="A220" s="7">
        <f>B220/(1-Assump!$D$4)</f>
        <v>1145.4545454545455</v>
      </c>
      <c r="B220" s="1">
        <v>1080</v>
      </c>
      <c r="C220" s="9">
        <f t="shared" si="56"/>
        <v>21.428571428571331</v>
      </c>
      <c r="D220">
        <f t="shared" si="57"/>
        <v>21.428571428571331</v>
      </c>
      <c r="E220">
        <f t="shared" si="58"/>
        <v>582</v>
      </c>
      <c r="F220">
        <f t="shared" si="59"/>
        <v>378.57142857142867</v>
      </c>
      <c r="G220">
        <f t="shared" si="60"/>
        <v>400</v>
      </c>
      <c r="H220">
        <f t="shared" si="61"/>
        <v>20</v>
      </c>
      <c r="I220">
        <f t="shared" si="65"/>
        <v>562</v>
      </c>
      <c r="J220">
        <f t="shared" si="55"/>
        <v>5</v>
      </c>
      <c r="L220">
        <f t="shared" si="62"/>
        <v>3420</v>
      </c>
      <c r="M220">
        <f t="shared" si="63"/>
        <v>562</v>
      </c>
      <c r="N220" s="9" t="e">
        <f>IF(OR($B220&gt;Assump!$E$9,$B220&lt;HVDC_Received_Max),NA(),NI_demand*2)</f>
        <v>#N/A</v>
      </c>
      <c r="O220">
        <f t="shared" si="64"/>
        <v>3982</v>
      </c>
      <c r="R220">
        <f t="shared" si="66"/>
        <v>1080</v>
      </c>
      <c r="S220" s="3">
        <f t="shared" si="67"/>
        <v>400</v>
      </c>
      <c r="T220">
        <f t="shared" si="68"/>
        <v>21.428571428571331</v>
      </c>
      <c r="U220">
        <f t="shared" si="69"/>
        <v>378.57142857142867</v>
      </c>
      <c r="V220">
        <f t="shared" si="70"/>
        <v>582</v>
      </c>
      <c r="W220">
        <f t="shared" si="71"/>
        <v>582</v>
      </c>
      <c r="X220">
        <f t="shared" si="72"/>
        <v>582</v>
      </c>
    </row>
    <row r="221" spans="1:24" x14ac:dyDescent="0.25">
      <c r="A221" s="7">
        <f>B221/(1-Assump!$D$4)</f>
        <v>1150.7575757575758</v>
      </c>
      <c r="B221" s="1">
        <v>1085</v>
      </c>
      <c r="C221" s="9">
        <f t="shared" si="56"/>
        <v>16.428571428571331</v>
      </c>
      <c r="D221">
        <f t="shared" si="57"/>
        <v>16.428571428571331</v>
      </c>
      <c r="E221">
        <f t="shared" si="58"/>
        <v>587</v>
      </c>
      <c r="F221">
        <f t="shared" si="59"/>
        <v>383.57142857142867</v>
      </c>
      <c r="G221">
        <f t="shared" si="60"/>
        <v>400</v>
      </c>
      <c r="H221">
        <f t="shared" si="61"/>
        <v>20</v>
      </c>
      <c r="I221">
        <f t="shared" si="65"/>
        <v>567</v>
      </c>
      <c r="J221">
        <f t="shared" si="55"/>
        <v>5</v>
      </c>
      <c r="L221">
        <f t="shared" si="62"/>
        <v>3415</v>
      </c>
      <c r="M221">
        <f t="shared" si="63"/>
        <v>567</v>
      </c>
      <c r="N221" s="9" t="e">
        <f>IF(OR($B221&gt;Assump!$E$9,$B221&lt;HVDC_Received_Max),NA(),NI_demand*2)</f>
        <v>#N/A</v>
      </c>
      <c r="O221">
        <f t="shared" si="64"/>
        <v>3982</v>
      </c>
      <c r="R221">
        <f t="shared" si="66"/>
        <v>1085</v>
      </c>
      <c r="S221" s="3">
        <f t="shared" si="67"/>
        <v>400</v>
      </c>
      <c r="T221">
        <f t="shared" si="68"/>
        <v>16.428571428571331</v>
      </c>
      <c r="U221">
        <f t="shared" si="69"/>
        <v>383.57142857142867</v>
      </c>
      <c r="V221">
        <f t="shared" si="70"/>
        <v>587</v>
      </c>
      <c r="W221">
        <f t="shared" si="71"/>
        <v>587</v>
      </c>
      <c r="X221">
        <f t="shared" si="72"/>
        <v>587</v>
      </c>
    </row>
    <row r="222" spans="1:24" x14ac:dyDescent="0.25">
      <c r="A222" s="7">
        <f>B222/(1-Assump!$D$4)</f>
        <v>1156.060606060606</v>
      </c>
      <c r="B222" s="1">
        <v>1090</v>
      </c>
      <c r="C222" s="9">
        <f t="shared" si="56"/>
        <v>11.428571428571331</v>
      </c>
      <c r="D222">
        <f t="shared" si="57"/>
        <v>11.428571428571331</v>
      </c>
      <c r="E222">
        <f t="shared" si="58"/>
        <v>592</v>
      </c>
      <c r="F222">
        <f t="shared" si="59"/>
        <v>388.57142857142867</v>
      </c>
      <c r="G222">
        <f t="shared" si="60"/>
        <v>400</v>
      </c>
      <c r="H222">
        <f t="shared" si="61"/>
        <v>20</v>
      </c>
      <c r="I222">
        <f t="shared" si="65"/>
        <v>572</v>
      </c>
      <c r="J222">
        <f t="shared" si="55"/>
        <v>5</v>
      </c>
      <c r="L222">
        <f t="shared" si="62"/>
        <v>3410</v>
      </c>
      <c r="M222">
        <f t="shared" si="63"/>
        <v>572</v>
      </c>
      <c r="N222" s="9" t="e">
        <f>IF(OR($B222&gt;Assump!$E$9,$B222&lt;HVDC_Received_Max),NA(),NI_demand*2)</f>
        <v>#N/A</v>
      </c>
      <c r="O222">
        <f t="shared" si="64"/>
        <v>3982</v>
      </c>
      <c r="R222">
        <f t="shared" si="66"/>
        <v>1090</v>
      </c>
      <c r="S222" s="3">
        <f t="shared" si="67"/>
        <v>400</v>
      </c>
      <c r="T222">
        <f t="shared" si="68"/>
        <v>11.428571428571331</v>
      </c>
      <c r="U222">
        <f t="shared" si="69"/>
        <v>388.57142857142867</v>
      </c>
      <c r="V222">
        <f t="shared" si="70"/>
        <v>592</v>
      </c>
      <c r="W222">
        <f t="shared" si="71"/>
        <v>592</v>
      </c>
      <c r="X222">
        <f t="shared" si="72"/>
        <v>592</v>
      </c>
    </row>
    <row r="223" spans="1:24" x14ac:dyDescent="0.25">
      <c r="A223" s="7">
        <f>B223/(1-Assump!$D$4)</f>
        <v>1161.3636363636365</v>
      </c>
      <c r="B223" s="1">
        <v>1095</v>
      </c>
      <c r="C223" s="9">
        <f t="shared" si="56"/>
        <v>6.4285714285713311</v>
      </c>
      <c r="D223">
        <f t="shared" si="57"/>
        <v>6.4285714285713311</v>
      </c>
      <c r="E223">
        <f t="shared" si="58"/>
        <v>597</v>
      </c>
      <c r="F223">
        <f t="shared" si="59"/>
        <v>393.57142857142867</v>
      </c>
      <c r="G223">
        <f t="shared" si="60"/>
        <v>400</v>
      </c>
      <c r="H223">
        <f t="shared" si="61"/>
        <v>20</v>
      </c>
      <c r="I223">
        <f t="shared" si="65"/>
        <v>577</v>
      </c>
      <c r="J223">
        <f t="shared" si="55"/>
        <v>5</v>
      </c>
      <c r="L223">
        <f t="shared" si="62"/>
        <v>3405</v>
      </c>
      <c r="M223">
        <f t="shared" si="63"/>
        <v>577</v>
      </c>
      <c r="N223" s="9" t="e">
        <f>IF(OR($B223&gt;Assump!$E$9,$B223&lt;HVDC_Received_Max),NA(),NI_demand*2)</f>
        <v>#N/A</v>
      </c>
      <c r="O223">
        <f t="shared" si="64"/>
        <v>3982</v>
      </c>
      <c r="R223">
        <f t="shared" si="66"/>
        <v>1095</v>
      </c>
      <c r="S223" s="3">
        <f t="shared" si="67"/>
        <v>400</v>
      </c>
      <c r="T223">
        <f t="shared" si="68"/>
        <v>6.4285714285713311</v>
      </c>
      <c r="U223">
        <f t="shared" si="69"/>
        <v>393.57142857142867</v>
      </c>
      <c r="V223">
        <f t="shared" si="70"/>
        <v>597</v>
      </c>
      <c r="W223">
        <f t="shared" si="71"/>
        <v>597</v>
      </c>
      <c r="X223">
        <f t="shared" si="72"/>
        <v>597</v>
      </c>
    </row>
    <row r="224" spans="1:24" x14ac:dyDescent="0.25">
      <c r="A224" s="7">
        <f>B224/(1-Assump!$D$4)</f>
        <v>1166.6666666666667</v>
      </c>
      <c r="B224" s="1">
        <v>1100</v>
      </c>
      <c r="C224" s="9">
        <f t="shared" si="56"/>
        <v>1.4285714285713311</v>
      </c>
      <c r="D224">
        <f t="shared" si="57"/>
        <v>1.4285714285713311</v>
      </c>
      <c r="E224">
        <f t="shared" si="58"/>
        <v>602</v>
      </c>
      <c r="F224">
        <f t="shared" si="59"/>
        <v>398.57142857142867</v>
      </c>
      <c r="G224">
        <f t="shared" si="60"/>
        <v>400</v>
      </c>
      <c r="H224">
        <f t="shared" si="61"/>
        <v>20</v>
      </c>
      <c r="I224">
        <f t="shared" si="65"/>
        <v>582</v>
      </c>
      <c r="J224">
        <f t="shared" si="55"/>
        <v>5</v>
      </c>
      <c r="L224">
        <f t="shared" si="62"/>
        <v>3400</v>
      </c>
      <c r="M224">
        <f t="shared" si="63"/>
        <v>582</v>
      </c>
      <c r="N224" s="9" t="e">
        <f>IF(OR($B224&gt;Assump!$E$9,$B224&lt;HVDC_Received_Max),NA(),NI_demand*2)</f>
        <v>#N/A</v>
      </c>
      <c r="O224">
        <f t="shared" si="64"/>
        <v>3982</v>
      </c>
      <c r="R224">
        <f t="shared" si="66"/>
        <v>1100</v>
      </c>
      <c r="S224" s="3">
        <f t="shared" si="67"/>
        <v>400</v>
      </c>
      <c r="T224">
        <f t="shared" si="68"/>
        <v>1.4285714285713311</v>
      </c>
      <c r="U224">
        <f t="shared" si="69"/>
        <v>398.57142857142867</v>
      </c>
      <c r="V224">
        <f t="shared" si="70"/>
        <v>602</v>
      </c>
      <c r="W224">
        <f t="shared" si="71"/>
        <v>602</v>
      </c>
      <c r="X224">
        <f t="shared" si="72"/>
        <v>602</v>
      </c>
    </row>
    <row r="225" spans="1:24" x14ac:dyDescent="0.25">
      <c r="A225" s="7">
        <f>B225/(1-Assump!$D$4)</f>
        <v>1171.969696969697</v>
      </c>
      <c r="B225" s="1">
        <v>1105</v>
      </c>
      <c r="C225" s="9">
        <f t="shared" si="56"/>
        <v>-3.5714285714286689</v>
      </c>
      <c r="D225">
        <f t="shared" si="57"/>
        <v>0</v>
      </c>
      <c r="E225">
        <f t="shared" si="58"/>
        <v>607</v>
      </c>
      <c r="F225">
        <f t="shared" si="59"/>
        <v>400</v>
      </c>
      <c r="G225">
        <f t="shared" si="60"/>
        <v>400</v>
      </c>
      <c r="H225">
        <f t="shared" si="61"/>
        <v>20</v>
      </c>
      <c r="I225">
        <f t="shared" si="65"/>
        <v>587</v>
      </c>
      <c r="J225">
        <f t="shared" ref="J225:J244" si="73">I225-I224</f>
        <v>5</v>
      </c>
      <c r="L225">
        <f t="shared" si="62"/>
        <v>3395</v>
      </c>
      <c r="M225">
        <f t="shared" si="63"/>
        <v>587</v>
      </c>
      <c r="N225" s="9" t="e">
        <f>IF(OR($B225&gt;Assump!$E$9,$B225&lt;HVDC_Received_Max),NA(),NI_demand*2)</f>
        <v>#N/A</v>
      </c>
      <c r="O225">
        <f t="shared" si="64"/>
        <v>3982</v>
      </c>
      <c r="R225">
        <f t="shared" si="66"/>
        <v>1105</v>
      </c>
      <c r="S225" s="3">
        <f t="shared" si="67"/>
        <v>400</v>
      </c>
      <c r="T225">
        <f t="shared" si="68"/>
        <v>0</v>
      </c>
      <c r="U225">
        <f t="shared" si="69"/>
        <v>400</v>
      </c>
      <c r="V225">
        <f t="shared" si="70"/>
        <v>607</v>
      </c>
      <c r="W225">
        <f t="shared" si="71"/>
        <v>607</v>
      </c>
      <c r="X225">
        <f t="shared" si="72"/>
        <v>607</v>
      </c>
    </row>
    <row r="226" spans="1:24" x14ac:dyDescent="0.25">
      <c r="A226" s="7">
        <f>B226/(1-Assump!$D$4)</f>
        <v>1177.2727272727273</v>
      </c>
      <c r="B226" s="1">
        <v>1110</v>
      </c>
      <c r="C226" s="9">
        <f t="shared" si="56"/>
        <v>-8.5714285714286689</v>
      </c>
      <c r="D226">
        <f t="shared" si="57"/>
        <v>0</v>
      </c>
      <c r="E226">
        <f t="shared" si="58"/>
        <v>612</v>
      </c>
      <c r="F226">
        <f t="shared" si="59"/>
        <v>400</v>
      </c>
      <c r="G226">
        <f t="shared" si="60"/>
        <v>400</v>
      </c>
      <c r="H226">
        <f t="shared" si="61"/>
        <v>20</v>
      </c>
      <c r="I226">
        <f t="shared" si="65"/>
        <v>592</v>
      </c>
      <c r="J226">
        <f t="shared" si="73"/>
        <v>5</v>
      </c>
      <c r="L226">
        <f t="shared" si="62"/>
        <v>3390</v>
      </c>
      <c r="M226">
        <f t="shared" si="63"/>
        <v>592</v>
      </c>
      <c r="N226" s="9" t="e">
        <f>IF(OR($B226&gt;Assump!$E$9,$B226&lt;HVDC_Received_Max),NA(),NI_demand*2)</f>
        <v>#N/A</v>
      </c>
      <c r="O226">
        <f t="shared" si="64"/>
        <v>3982</v>
      </c>
      <c r="R226">
        <f t="shared" si="66"/>
        <v>1110</v>
      </c>
      <c r="S226" s="3">
        <f t="shared" si="67"/>
        <v>400</v>
      </c>
      <c r="T226">
        <f t="shared" si="68"/>
        <v>0</v>
      </c>
      <c r="U226">
        <f t="shared" si="69"/>
        <v>400</v>
      </c>
      <c r="V226">
        <f t="shared" si="70"/>
        <v>612</v>
      </c>
      <c r="W226">
        <f t="shared" si="71"/>
        <v>612</v>
      </c>
      <c r="X226">
        <f t="shared" si="72"/>
        <v>612</v>
      </c>
    </row>
    <row r="227" spans="1:24" x14ac:dyDescent="0.25">
      <c r="A227" s="7">
        <f>B227/(1-Assump!$D$4)</f>
        <v>1182.5757575757575</v>
      </c>
      <c r="B227" s="1">
        <v>1115</v>
      </c>
      <c r="C227" s="9">
        <f t="shared" si="56"/>
        <v>-13.571428571428669</v>
      </c>
      <c r="D227">
        <f t="shared" si="57"/>
        <v>0</v>
      </c>
      <c r="E227">
        <f t="shared" si="58"/>
        <v>617</v>
      </c>
      <c r="F227">
        <f t="shared" si="59"/>
        <v>400</v>
      </c>
      <c r="G227">
        <f t="shared" si="60"/>
        <v>400</v>
      </c>
      <c r="H227">
        <f t="shared" si="61"/>
        <v>20</v>
      </c>
      <c r="I227">
        <f t="shared" si="65"/>
        <v>597</v>
      </c>
      <c r="J227">
        <f t="shared" si="73"/>
        <v>5</v>
      </c>
      <c r="L227">
        <f t="shared" si="62"/>
        <v>3385</v>
      </c>
      <c r="M227">
        <f t="shared" si="63"/>
        <v>597</v>
      </c>
      <c r="N227" s="9" t="e">
        <f>IF(OR($B227&gt;Assump!$E$9,$B227&lt;HVDC_Received_Max),NA(),NI_demand*2)</f>
        <v>#N/A</v>
      </c>
      <c r="O227">
        <f t="shared" si="64"/>
        <v>3982</v>
      </c>
      <c r="R227">
        <f t="shared" si="66"/>
        <v>1115</v>
      </c>
      <c r="S227" s="3">
        <f t="shared" si="67"/>
        <v>400</v>
      </c>
      <c r="T227">
        <f t="shared" si="68"/>
        <v>0</v>
      </c>
      <c r="U227">
        <f t="shared" si="69"/>
        <v>400</v>
      </c>
      <c r="V227">
        <f t="shared" si="70"/>
        <v>617</v>
      </c>
      <c r="W227">
        <f t="shared" si="71"/>
        <v>617</v>
      </c>
      <c r="X227">
        <f t="shared" si="72"/>
        <v>617</v>
      </c>
    </row>
    <row r="228" spans="1:24" x14ac:dyDescent="0.25">
      <c r="A228" s="7">
        <f>B228/(1-Assump!$D$4)</f>
        <v>1187.878787878788</v>
      </c>
      <c r="B228" s="1">
        <v>1120</v>
      </c>
      <c r="C228" s="9">
        <f t="shared" si="56"/>
        <v>-18.571428571428669</v>
      </c>
      <c r="D228">
        <f t="shared" si="57"/>
        <v>0</v>
      </c>
      <c r="E228">
        <f t="shared" si="58"/>
        <v>622</v>
      </c>
      <c r="F228">
        <f t="shared" si="59"/>
        <v>400</v>
      </c>
      <c r="G228">
        <f t="shared" si="60"/>
        <v>400</v>
      </c>
      <c r="H228">
        <f t="shared" si="61"/>
        <v>20</v>
      </c>
      <c r="I228">
        <f t="shared" si="65"/>
        <v>602</v>
      </c>
      <c r="J228">
        <f t="shared" si="73"/>
        <v>5</v>
      </c>
      <c r="L228">
        <f t="shared" si="62"/>
        <v>3380</v>
      </c>
      <c r="M228">
        <f t="shared" si="63"/>
        <v>602</v>
      </c>
      <c r="N228" s="9" t="e">
        <f>IF(OR($B228&gt;Assump!$E$9,$B228&lt;HVDC_Received_Max),NA(),NI_demand*2)</f>
        <v>#N/A</v>
      </c>
      <c r="O228">
        <f t="shared" si="64"/>
        <v>3982</v>
      </c>
      <c r="R228">
        <f t="shared" si="66"/>
        <v>1120</v>
      </c>
      <c r="S228" s="3">
        <f t="shared" si="67"/>
        <v>400</v>
      </c>
      <c r="T228">
        <f t="shared" si="68"/>
        <v>0</v>
      </c>
      <c r="U228">
        <f t="shared" si="69"/>
        <v>400</v>
      </c>
      <c r="V228">
        <f t="shared" si="70"/>
        <v>622</v>
      </c>
      <c r="W228">
        <f t="shared" si="71"/>
        <v>622</v>
      </c>
      <c r="X228">
        <f t="shared" si="72"/>
        <v>622</v>
      </c>
    </row>
    <row r="229" spans="1:24" x14ac:dyDescent="0.25">
      <c r="A229" s="7">
        <f>B229/(1-Assump!$D$4)</f>
        <v>1193.1818181818182</v>
      </c>
      <c r="B229" s="1">
        <v>1125</v>
      </c>
      <c r="C229" s="9">
        <f t="shared" si="56"/>
        <v>-23.571428571428669</v>
      </c>
      <c r="D229">
        <f t="shared" si="57"/>
        <v>0</v>
      </c>
      <c r="E229">
        <f t="shared" si="58"/>
        <v>627</v>
      </c>
      <c r="F229">
        <f t="shared" si="59"/>
        <v>400</v>
      </c>
      <c r="G229">
        <f t="shared" si="60"/>
        <v>400</v>
      </c>
      <c r="H229">
        <f t="shared" si="61"/>
        <v>20</v>
      </c>
      <c r="I229">
        <f t="shared" si="65"/>
        <v>607</v>
      </c>
      <c r="J229">
        <f t="shared" si="73"/>
        <v>5</v>
      </c>
      <c r="L229">
        <f t="shared" si="62"/>
        <v>3375</v>
      </c>
      <c r="M229">
        <f t="shared" si="63"/>
        <v>607</v>
      </c>
      <c r="N229" s="9" t="e">
        <f>IF(OR($B229&gt;Assump!$E$9,$B229&lt;HVDC_Received_Max),NA(),NI_demand*2)</f>
        <v>#N/A</v>
      </c>
      <c r="O229">
        <f t="shared" si="64"/>
        <v>3982</v>
      </c>
      <c r="R229">
        <f t="shared" si="66"/>
        <v>1125</v>
      </c>
      <c r="S229" s="3">
        <f t="shared" si="67"/>
        <v>400</v>
      </c>
      <c r="T229">
        <f t="shared" si="68"/>
        <v>0</v>
      </c>
      <c r="U229">
        <f t="shared" si="69"/>
        <v>400</v>
      </c>
      <c r="V229">
        <f t="shared" si="70"/>
        <v>627</v>
      </c>
      <c r="W229">
        <f t="shared" si="71"/>
        <v>627</v>
      </c>
      <c r="X229">
        <f t="shared" si="72"/>
        <v>627</v>
      </c>
    </row>
    <row r="230" spans="1:24" x14ac:dyDescent="0.25">
      <c r="A230" s="7">
        <f>B230/(1-Assump!$D$4)</f>
        <v>1198.4848484848485</v>
      </c>
      <c r="B230" s="1">
        <v>1130</v>
      </c>
      <c r="C230" s="9">
        <f t="shared" si="56"/>
        <v>-28.571428571428669</v>
      </c>
      <c r="D230">
        <f t="shared" si="57"/>
        <v>0</v>
      </c>
      <c r="E230">
        <f t="shared" si="58"/>
        <v>632</v>
      </c>
      <c r="F230">
        <f t="shared" si="59"/>
        <v>400</v>
      </c>
      <c r="G230">
        <f t="shared" si="60"/>
        <v>400</v>
      </c>
      <c r="H230">
        <f t="shared" si="61"/>
        <v>20</v>
      </c>
      <c r="I230">
        <f t="shared" si="65"/>
        <v>612</v>
      </c>
      <c r="J230">
        <f t="shared" si="73"/>
        <v>5</v>
      </c>
      <c r="L230">
        <f t="shared" si="62"/>
        <v>3370</v>
      </c>
      <c r="M230">
        <f t="shared" si="63"/>
        <v>612</v>
      </c>
      <c r="N230" s="9" t="e">
        <f>IF(OR($B230&gt;Assump!$E$9,$B230&lt;HVDC_Received_Max),NA(),NI_demand*2)</f>
        <v>#N/A</v>
      </c>
      <c r="O230">
        <f t="shared" si="64"/>
        <v>3982</v>
      </c>
      <c r="R230">
        <f t="shared" si="66"/>
        <v>1130</v>
      </c>
      <c r="S230" s="3">
        <f t="shared" si="67"/>
        <v>400</v>
      </c>
      <c r="T230">
        <f t="shared" si="68"/>
        <v>0</v>
      </c>
      <c r="U230">
        <f t="shared" si="69"/>
        <v>400</v>
      </c>
      <c r="V230">
        <f t="shared" si="70"/>
        <v>632</v>
      </c>
      <c r="W230">
        <f t="shared" si="71"/>
        <v>632</v>
      </c>
      <c r="X230">
        <f t="shared" si="72"/>
        <v>632</v>
      </c>
    </row>
    <row r="231" spans="1:24" x14ac:dyDescent="0.25">
      <c r="A231" s="7">
        <f>B231/(1-Assump!$D$4)</f>
        <v>1203.7878787878788</v>
      </c>
      <c r="B231" s="1">
        <v>1135</v>
      </c>
      <c r="C231" s="9">
        <f t="shared" si="56"/>
        <v>-33.571428571428669</v>
      </c>
      <c r="D231" t="e">
        <f t="shared" si="57"/>
        <v>#N/A</v>
      </c>
      <c r="E231" t="e">
        <f t="shared" si="58"/>
        <v>#N/A</v>
      </c>
      <c r="F231" t="e">
        <f t="shared" si="59"/>
        <v>#N/A</v>
      </c>
      <c r="G231" t="e">
        <f t="shared" si="60"/>
        <v>#N/A</v>
      </c>
      <c r="H231" t="e">
        <f t="shared" si="61"/>
        <v>#N/A</v>
      </c>
      <c r="I231" t="e">
        <f t="shared" si="65"/>
        <v>#N/A</v>
      </c>
      <c r="J231" t="e">
        <f t="shared" si="73"/>
        <v>#N/A</v>
      </c>
      <c r="L231" t="e">
        <f t="shared" si="62"/>
        <v>#N/A</v>
      </c>
      <c r="M231" t="e">
        <f t="shared" si="63"/>
        <v>#N/A</v>
      </c>
      <c r="N231" s="9" t="e">
        <f>IF(OR($B231&gt;Assump!$E$9,$B231&lt;HVDC_Received_Max),NA(),NI_demand*2)</f>
        <v>#N/A</v>
      </c>
      <c r="O231" t="e">
        <f t="shared" si="64"/>
        <v>#N/A</v>
      </c>
      <c r="R231">
        <f t="shared" si="66"/>
        <v>1135</v>
      </c>
      <c r="S231" s="3" t="e">
        <f t="shared" si="67"/>
        <v>#N/A</v>
      </c>
      <c r="T231" t="e">
        <f t="shared" si="68"/>
        <v>#N/A</v>
      </c>
      <c r="U231" t="e">
        <f t="shared" si="69"/>
        <v>#N/A</v>
      </c>
      <c r="V231" t="e">
        <f t="shared" si="70"/>
        <v>#N/A</v>
      </c>
      <c r="W231" t="e">
        <f t="shared" si="71"/>
        <v>#N/A</v>
      </c>
      <c r="X231" t="e">
        <f t="shared" si="72"/>
        <v>#N/A</v>
      </c>
    </row>
    <row r="232" spans="1:24" x14ac:dyDescent="0.25">
      <c r="A232" s="7">
        <f>B232/(1-Assump!$D$4)</f>
        <v>1209.090909090909</v>
      </c>
      <c r="B232" s="1">
        <v>1140</v>
      </c>
      <c r="C232" s="9">
        <f t="shared" si="56"/>
        <v>-38.571428571428669</v>
      </c>
      <c r="D232" t="e">
        <f t="shared" si="57"/>
        <v>#N/A</v>
      </c>
      <c r="E232" t="e">
        <f t="shared" si="58"/>
        <v>#N/A</v>
      </c>
      <c r="F232" t="e">
        <f t="shared" si="59"/>
        <v>#N/A</v>
      </c>
      <c r="G232" t="e">
        <f t="shared" si="60"/>
        <v>#N/A</v>
      </c>
      <c r="H232" t="e">
        <f t="shared" si="61"/>
        <v>#N/A</v>
      </c>
      <c r="I232" t="e">
        <f t="shared" si="65"/>
        <v>#N/A</v>
      </c>
      <c r="J232" t="e">
        <f t="shared" si="73"/>
        <v>#N/A</v>
      </c>
      <c r="L232" t="e">
        <f t="shared" si="62"/>
        <v>#N/A</v>
      </c>
      <c r="M232" t="e">
        <f t="shared" si="63"/>
        <v>#N/A</v>
      </c>
      <c r="N232" s="9" t="e">
        <f>IF(OR($B232&gt;Assump!$E$9,$B232&lt;HVDC_Received_Max),NA(),NI_demand*2)</f>
        <v>#N/A</v>
      </c>
      <c r="O232" t="e">
        <f t="shared" si="64"/>
        <v>#N/A</v>
      </c>
      <c r="R232">
        <f t="shared" si="66"/>
        <v>1140</v>
      </c>
      <c r="S232" s="3" t="e">
        <f t="shared" si="67"/>
        <v>#N/A</v>
      </c>
      <c r="T232" t="e">
        <f t="shared" si="68"/>
        <v>#N/A</v>
      </c>
      <c r="U232" t="e">
        <f t="shared" si="69"/>
        <v>#N/A</v>
      </c>
      <c r="V232" t="e">
        <f t="shared" si="70"/>
        <v>#N/A</v>
      </c>
      <c r="W232" t="e">
        <f t="shared" si="71"/>
        <v>#N/A</v>
      </c>
      <c r="X232" t="e">
        <f t="shared" si="72"/>
        <v>#N/A</v>
      </c>
    </row>
    <row r="233" spans="1:24" x14ac:dyDescent="0.25">
      <c r="A233" s="7">
        <f>B233/(1-Assump!$D$4)</f>
        <v>1214.3939393939395</v>
      </c>
      <c r="B233" s="1">
        <v>1145</v>
      </c>
      <c r="C233" s="9">
        <f t="shared" si="56"/>
        <v>-43.571428571428669</v>
      </c>
      <c r="D233" t="e">
        <f t="shared" si="57"/>
        <v>#N/A</v>
      </c>
      <c r="E233" t="e">
        <f t="shared" si="58"/>
        <v>#N/A</v>
      </c>
      <c r="F233" t="e">
        <f t="shared" si="59"/>
        <v>#N/A</v>
      </c>
      <c r="G233" t="e">
        <f t="shared" si="60"/>
        <v>#N/A</v>
      </c>
      <c r="H233" t="e">
        <f t="shared" si="61"/>
        <v>#N/A</v>
      </c>
      <c r="I233" t="e">
        <f t="shared" si="65"/>
        <v>#N/A</v>
      </c>
      <c r="J233" t="e">
        <f t="shared" si="73"/>
        <v>#N/A</v>
      </c>
      <c r="L233" t="e">
        <f t="shared" si="62"/>
        <v>#N/A</v>
      </c>
      <c r="M233" t="e">
        <f t="shared" si="63"/>
        <v>#N/A</v>
      </c>
      <c r="N233" s="9" t="e">
        <f>IF(OR($B233&gt;Assump!$E$9,$B233&lt;HVDC_Received_Max),NA(),NI_demand*2)</f>
        <v>#N/A</v>
      </c>
      <c r="O233" t="e">
        <f t="shared" si="64"/>
        <v>#N/A</v>
      </c>
      <c r="R233">
        <f t="shared" si="66"/>
        <v>1145</v>
      </c>
      <c r="S233" s="3" t="e">
        <f t="shared" si="67"/>
        <v>#N/A</v>
      </c>
      <c r="T233" t="e">
        <f t="shared" si="68"/>
        <v>#N/A</v>
      </c>
      <c r="U233" t="e">
        <f t="shared" si="69"/>
        <v>#N/A</v>
      </c>
      <c r="V233" t="e">
        <f t="shared" si="70"/>
        <v>#N/A</v>
      </c>
      <c r="W233" t="e">
        <f t="shared" si="71"/>
        <v>#N/A</v>
      </c>
      <c r="X233" t="e">
        <f t="shared" si="72"/>
        <v>#N/A</v>
      </c>
    </row>
    <row r="234" spans="1:24" x14ac:dyDescent="0.25">
      <c r="A234" s="7">
        <f>B234/(1-Assump!$D$4)</f>
        <v>1219.6969696969697</v>
      </c>
      <c r="B234" s="1">
        <v>1150</v>
      </c>
      <c r="C234" s="9">
        <f t="shared" si="56"/>
        <v>-48.571428571428669</v>
      </c>
      <c r="D234" t="e">
        <f t="shared" si="57"/>
        <v>#N/A</v>
      </c>
      <c r="E234" t="e">
        <f t="shared" si="58"/>
        <v>#N/A</v>
      </c>
      <c r="F234" t="e">
        <f t="shared" si="59"/>
        <v>#N/A</v>
      </c>
      <c r="G234" t="e">
        <f t="shared" si="60"/>
        <v>#N/A</v>
      </c>
      <c r="H234" t="e">
        <f t="shared" si="61"/>
        <v>#N/A</v>
      </c>
      <c r="I234" t="e">
        <f t="shared" si="65"/>
        <v>#N/A</v>
      </c>
      <c r="J234" t="e">
        <f t="shared" si="73"/>
        <v>#N/A</v>
      </c>
      <c r="L234" t="e">
        <f t="shared" si="62"/>
        <v>#N/A</v>
      </c>
      <c r="M234" t="e">
        <f t="shared" si="63"/>
        <v>#N/A</v>
      </c>
      <c r="N234" s="9" t="e">
        <f>IF(OR($B234&gt;Assump!$E$9,$B234&lt;HVDC_Received_Max),NA(),NI_demand*2)</f>
        <v>#N/A</v>
      </c>
      <c r="O234" t="e">
        <f t="shared" si="64"/>
        <v>#N/A</v>
      </c>
      <c r="R234">
        <f t="shared" si="66"/>
        <v>1150</v>
      </c>
      <c r="S234" s="3" t="e">
        <f t="shared" si="67"/>
        <v>#N/A</v>
      </c>
      <c r="T234" t="e">
        <f t="shared" si="68"/>
        <v>#N/A</v>
      </c>
      <c r="U234" t="e">
        <f t="shared" si="69"/>
        <v>#N/A</v>
      </c>
      <c r="V234" t="e">
        <f t="shared" si="70"/>
        <v>#N/A</v>
      </c>
      <c r="W234" t="e">
        <f t="shared" si="71"/>
        <v>#N/A</v>
      </c>
      <c r="X234" t="e">
        <f t="shared" si="72"/>
        <v>#N/A</v>
      </c>
    </row>
    <row r="235" spans="1:24" x14ac:dyDescent="0.25">
      <c r="A235" s="7">
        <f>B235/(1-Assump!$D$4)</f>
        <v>1225</v>
      </c>
      <c r="B235" s="1">
        <v>1155</v>
      </c>
      <c r="C235" s="9">
        <f t="shared" si="56"/>
        <v>-53.571428571428669</v>
      </c>
      <c r="D235" t="e">
        <f t="shared" si="57"/>
        <v>#N/A</v>
      </c>
      <c r="E235" t="e">
        <f t="shared" si="58"/>
        <v>#N/A</v>
      </c>
      <c r="F235" t="e">
        <f t="shared" si="59"/>
        <v>#N/A</v>
      </c>
      <c r="G235" t="e">
        <f t="shared" si="60"/>
        <v>#N/A</v>
      </c>
      <c r="H235" t="e">
        <f t="shared" si="61"/>
        <v>#N/A</v>
      </c>
      <c r="I235" t="e">
        <f t="shared" si="65"/>
        <v>#N/A</v>
      </c>
      <c r="J235" t="e">
        <f t="shared" si="73"/>
        <v>#N/A</v>
      </c>
      <c r="L235" t="e">
        <f t="shared" si="62"/>
        <v>#N/A</v>
      </c>
      <c r="M235" t="e">
        <f t="shared" si="63"/>
        <v>#N/A</v>
      </c>
      <c r="N235" s="9" t="e">
        <f>IF(OR($B235&gt;Assump!$E$9,$B235&lt;HVDC_Received_Max),NA(),NI_demand*2)</f>
        <v>#N/A</v>
      </c>
      <c r="O235" t="e">
        <f t="shared" si="64"/>
        <v>#N/A</v>
      </c>
      <c r="R235">
        <f t="shared" si="66"/>
        <v>1155</v>
      </c>
      <c r="S235" s="3" t="e">
        <f t="shared" si="67"/>
        <v>#N/A</v>
      </c>
      <c r="T235" t="e">
        <f t="shared" si="68"/>
        <v>#N/A</v>
      </c>
      <c r="U235" t="e">
        <f t="shared" si="69"/>
        <v>#N/A</v>
      </c>
      <c r="V235" t="e">
        <f t="shared" si="70"/>
        <v>#N/A</v>
      </c>
      <c r="W235" t="e">
        <f t="shared" si="71"/>
        <v>#N/A</v>
      </c>
      <c r="X235" t="e">
        <f t="shared" si="72"/>
        <v>#N/A</v>
      </c>
    </row>
    <row r="236" spans="1:24" x14ac:dyDescent="0.25">
      <c r="A236" s="7">
        <f>B236/(1-Assump!$D$4)</f>
        <v>1230.3030303030303</v>
      </c>
      <c r="B236" s="1">
        <v>1160</v>
      </c>
      <c r="C236" s="9">
        <f t="shared" si="56"/>
        <v>-58.571428571428669</v>
      </c>
      <c r="D236" t="e">
        <f t="shared" si="57"/>
        <v>#N/A</v>
      </c>
      <c r="E236" t="e">
        <f t="shared" si="58"/>
        <v>#N/A</v>
      </c>
      <c r="F236" t="e">
        <f t="shared" si="59"/>
        <v>#N/A</v>
      </c>
      <c r="G236" t="e">
        <f t="shared" si="60"/>
        <v>#N/A</v>
      </c>
      <c r="H236" t="e">
        <f t="shared" si="61"/>
        <v>#N/A</v>
      </c>
      <c r="I236" t="e">
        <f t="shared" si="65"/>
        <v>#N/A</v>
      </c>
      <c r="J236" t="e">
        <f t="shared" si="73"/>
        <v>#N/A</v>
      </c>
      <c r="L236" t="e">
        <f t="shared" si="62"/>
        <v>#N/A</v>
      </c>
      <c r="M236" t="e">
        <f t="shared" si="63"/>
        <v>#N/A</v>
      </c>
      <c r="N236" s="9" t="e">
        <f>IF(OR($B236&gt;Assump!$E$9,$B236&lt;HVDC_Received_Max),NA(),NI_demand*2)</f>
        <v>#N/A</v>
      </c>
      <c r="O236" t="e">
        <f t="shared" si="64"/>
        <v>#N/A</v>
      </c>
      <c r="R236">
        <f t="shared" si="66"/>
        <v>1160</v>
      </c>
      <c r="S236" s="3" t="e">
        <f t="shared" si="67"/>
        <v>#N/A</v>
      </c>
      <c r="T236" t="e">
        <f t="shared" si="68"/>
        <v>#N/A</v>
      </c>
      <c r="U236" t="e">
        <f t="shared" si="69"/>
        <v>#N/A</v>
      </c>
      <c r="V236" t="e">
        <f t="shared" si="70"/>
        <v>#N/A</v>
      </c>
      <c r="W236" t="e">
        <f t="shared" si="71"/>
        <v>#N/A</v>
      </c>
      <c r="X236" t="e">
        <f t="shared" si="72"/>
        <v>#N/A</v>
      </c>
    </row>
    <row r="237" spans="1:24" x14ac:dyDescent="0.25">
      <c r="A237" s="7">
        <f>B237/(1-Assump!$D$4)</f>
        <v>1235.6060606060607</v>
      </c>
      <c r="B237" s="1">
        <v>1165</v>
      </c>
      <c r="C237" s="9">
        <f t="shared" si="56"/>
        <v>-63.571428571428669</v>
      </c>
      <c r="D237" t="e">
        <f t="shared" si="57"/>
        <v>#N/A</v>
      </c>
      <c r="E237" t="e">
        <f t="shared" si="58"/>
        <v>#N/A</v>
      </c>
      <c r="F237" t="e">
        <f t="shared" si="59"/>
        <v>#N/A</v>
      </c>
      <c r="G237" t="e">
        <f t="shared" si="60"/>
        <v>#N/A</v>
      </c>
      <c r="H237" t="e">
        <f t="shared" si="61"/>
        <v>#N/A</v>
      </c>
      <c r="I237" t="e">
        <f t="shared" si="65"/>
        <v>#N/A</v>
      </c>
      <c r="J237" t="e">
        <f t="shared" si="73"/>
        <v>#N/A</v>
      </c>
      <c r="L237" t="e">
        <f t="shared" si="62"/>
        <v>#N/A</v>
      </c>
      <c r="M237" t="e">
        <f t="shared" si="63"/>
        <v>#N/A</v>
      </c>
      <c r="N237" s="9" t="e">
        <f>IF(OR($B237&gt;Assump!$E$9,$B237&lt;HVDC_Received_Max),NA(),NI_demand*2)</f>
        <v>#N/A</v>
      </c>
      <c r="O237" t="e">
        <f t="shared" si="64"/>
        <v>#N/A</v>
      </c>
      <c r="R237">
        <f t="shared" si="66"/>
        <v>1165</v>
      </c>
      <c r="S237" s="3" t="e">
        <f t="shared" si="67"/>
        <v>#N/A</v>
      </c>
      <c r="T237" t="e">
        <f t="shared" si="68"/>
        <v>#N/A</v>
      </c>
      <c r="U237" t="e">
        <f t="shared" si="69"/>
        <v>#N/A</v>
      </c>
      <c r="V237" t="e">
        <f t="shared" si="70"/>
        <v>#N/A</v>
      </c>
      <c r="W237" t="e">
        <f t="shared" si="71"/>
        <v>#N/A</v>
      </c>
      <c r="X237" t="e">
        <f t="shared" si="72"/>
        <v>#N/A</v>
      </c>
    </row>
    <row r="238" spans="1:24" x14ac:dyDescent="0.25">
      <c r="A238" s="7">
        <f>B238/(1-Assump!$D$4)</f>
        <v>1240.909090909091</v>
      </c>
      <c r="B238" s="1">
        <v>1170</v>
      </c>
      <c r="C238" s="9">
        <f t="shared" si="56"/>
        <v>-68.571428571428669</v>
      </c>
      <c r="D238" t="e">
        <f t="shared" si="57"/>
        <v>#N/A</v>
      </c>
      <c r="E238" t="e">
        <f t="shared" si="58"/>
        <v>#N/A</v>
      </c>
      <c r="F238" t="e">
        <f t="shared" si="59"/>
        <v>#N/A</v>
      </c>
      <c r="G238" t="e">
        <f t="shared" si="60"/>
        <v>#N/A</v>
      </c>
      <c r="H238" t="e">
        <f t="shared" si="61"/>
        <v>#N/A</v>
      </c>
      <c r="I238" t="e">
        <f t="shared" si="65"/>
        <v>#N/A</v>
      </c>
      <c r="J238" t="e">
        <f t="shared" si="73"/>
        <v>#N/A</v>
      </c>
      <c r="L238" t="e">
        <f t="shared" si="62"/>
        <v>#N/A</v>
      </c>
      <c r="M238" t="e">
        <f t="shared" si="63"/>
        <v>#N/A</v>
      </c>
      <c r="N238" s="9" t="e">
        <f>IF(OR($B238&gt;Assump!$E$9,$B238&lt;HVDC_Received_Max),NA(),NI_demand*2)</f>
        <v>#N/A</v>
      </c>
      <c r="O238" t="e">
        <f t="shared" si="64"/>
        <v>#N/A</v>
      </c>
      <c r="R238">
        <f t="shared" si="66"/>
        <v>1170</v>
      </c>
      <c r="S238" s="3" t="e">
        <f t="shared" si="67"/>
        <v>#N/A</v>
      </c>
      <c r="T238" t="e">
        <f t="shared" si="68"/>
        <v>#N/A</v>
      </c>
      <c r="U238" t="e">
        <f t="shared" si="69"/>
        <v>#N/A</v>
      </c>
      <c r="V238" t="e">
        <f t="shared" si="70"/>
        <v>#N/A</v>
      </c>
      <c r="W238" t="e">
        <f t="shared" si="71"/>
        <v>#N/A</v>
      </c>
      <c r="X238" t="e">
        <f t="shared" si="72"/>
        <v>#N/A</v>
      </c>
    </row>
    <row r="239" spans="1:24" x14ac:dyDescent="0.25">
      <c r="A239" s="7">
        <f>B239/(1-Assump!$D$4)</f>
        <v>1246.2121212121212</v>
      </c>
      <c r="B239" s="1">
        <v>1175</v>
      </c>
      <c r="C239" s="9">
        <f t="shared" si="56"/>
        <v>-73.571428571428669</v>
      </c>
      <c r="D239" t="e">
        <f t="shared" si="57"/>
        <v>#N/A</v>
      </c>
      <c r="E239" t="e">
        <f t="shared" si="58"/>
        <v>#N/A</v>
      </c>
      <c r="F239" t="e">
        <f t="shared" si="59"/>
        <v>#N/A</v>
      </c>
      <c r="G239" t="e">
        <f t="shared" si="60"/>
        <v>#N/A</v>
      </c>
      <c r="H239" t="e">
        <f t="shared" si="61"/>
        <v>#N/A</v>
      </c>
      <c r="I239" t="e">
        <f t="shared" si="65"/>
        <v>#N/A</v>
      </c>
      <c r="J239" t="e">
        <f t="shared" si="73"/>
        <v>#N/A</v>
      </c>
      <c r="L239" t="e">
        <f t="shared" si="62"/>
        <v>#N/A</v>
      </c>
      <c r="M239" t="e">
        <f t="shared" si="63"/>
        <v>#N/A</v>
      </c>
      <c r="N239" s="9" t="e">
        <f>IF(OR($B239&gt;Assump!$E$9,$B239&lt;HVDC_Received_Max),NA(),NI_demand*2)</f>
        <v>#N/A</v>
      </c>
      <c r="O239" t="e">
        <f t="shared" si="64"/>
        <v>#N/A</v>
      </c>
      <c r="R239">
        <f t="shared" si="66"/>
        <v>1175</v>
      </c>
      <c r="S239" s="3" t="e">
        <f t="shared" si="67"/>
        <v>#N/A</v>
      </c>
      <c r="T239" t="e">
        <f t="shared" si="68"/>
        <v>#N/A</v>
      </c>
      <c r="U239" t="e">
        <f t="shared" si="69"/>
        <v>#N/A</v>
      </c>
      <c r="V239" t="e">
        <f t="shared" si="70"/>
        <v>#N/A</v>
      </c>
      <c r="W239" t="e">
        <f t="shared" si="71"/>
        <v>#N/A</v>
      </c>
      <c r="X239" t="e">
        <f t="shared" si="72"/>
        <v>#N/A</v>
      </c>
    </row>
    <row r="240" spans="1:24" x14ac:dyDescent="0.25">
      <c r="A240" s="7">
        <f>B240/(1-Assump!$D$4)</f>
        <v>1251.5151515151515</v>
      </c>
      <c r="B240" s="1">
        <v>1180</v>
      </c>
      <c r="C240" s="9">
        <f t="shared" si="56"/>
        <v>-78.571428571428669</v>
      </c>
      <c r="D240" t="e">
        <f t="shared" si="57"/>
        <v>#N/A</v>
      </c>
      <c r="E240" t="e">
        <f t="shared" si="58"/>
        <v>#N/A</v>
      </c>
      <c r="F240" t="e">
        <f t="shared" si="59"/>
        <v>#N/A</v>
      </c>
      <c r="G240" t="e">
        <f t="shared" si="60"/>
        <v>#N/A</v>
      </c>
      <c r="H240" t="e">
        <f t="shared" si="61"/>
        <v>#N/A</v>
      </c>
      <c r="I240" t="e">
        <f t="shared" si="65"/>
        <v>#N/A</v>
      </c>
      <c r="J240" t="e">
        <f t="shared" si="73"/>
        <v>#N/A</v>
      </c>
      <c r="L240" t="e">
        <f t="shared" si="62"/>
        <v>#N/A</v>
      </c>
      <c r="M240" t="e">
        <f t="shared" si="63"/>
        <v>#N/A</v>
      </c>
      <c r="N240" s="9" t="e">
        <f>IF(OR($B240&gt;Assump!$E$9,$B240&lt;HVDC_Received_Max),NA(),NI_demand*2)</f>
        <v>#N/A</v>
      </c>
      <c r="O240" t="e">
        <f t="shared" si="64"/>
        <v>#N/A</v>
      </c>
      <c r="R240">
        <f t="shared" si="66"/>
        <v>1180</v>
      </c>
      <c r="S240" s="3" t="e">
        <f t="shared" si="67"/>
        <v>#N/A</v>
      </c>
      <c r="T240" t="e">
        <f t="shared" si="68"/>
        <v>#N/A</v>
      </c>
      <c r="U240" t="e">
        <f t="shared" si="69"/>
        <v>#N/A</v>
      </c>
      <c r="V240" t="e">
        <f t="shared" si="70"/>
        <v>#N/A</v>
      </c>
      <c r="W240" t="e">
        <f t="shared" si="71"/>
        <v>#N/A</v>
      </c>
      <c r="X240" t="e">
        <f t="shared" si="72"/>
        <v>#N/A</v>
      </c>
    </row>
    <row r="241" spans="1:24" x14ac:dyDescent="0.25">
      <c r="A241" s="7">
        <f>B241/(1-Assump!$D$4)</f>
        <v>1256.8181818181818</v>
      </c>
      <c r="B241" s="1">
        <v>1185</v>
      </c>
      <c r="C241" s="9">
        <f t="shared" si="56"/>
        <v>-83.571428571428669</v>
      </c>
      <c r="D241" t="e">
        <f t="shared" si="57"/>
        <v>#N/A</v>
      </c>
      <c r="E241" t="e">
        <f t="shared" si="58"/>
        <v>#N/A</v>
      </c>
      <c r="F241" t="e">
        <f t="shared" si="59"/>
        <v>#N/A</v>
      </c>
      <c r="G241" t="e">
        <f t="shared" si="60"/>
        <v>#N/A</v>
      </c>
      <c r="H241" t="e">
        <f t="shared" si="61"/>
        <v>#N/A</v>
      </c>
      <c r="I241" t="e">
        <f t="shared" si="65"/>
        <v>#N/A</v>
      </c>
      <c r="J241" t="e">
        <f t="shared" si="73"/>
        <v>#N/A</v>
      </c>
      <c r="L241" t="e">
        <f t="shared" si="62"/>
        <v>#N/A</v>
      </c>
      <c r="M241" t="e">
        <f t="shared" si="63"/>
        <v>#N/A</v>
      </c>
      <c r="N241" s="9" t="e">
        <f>IF(OR($B241&gt;Assump!$E$9,$B241&lt;HVDC_Received_Max),NA(),NI_demand*2)</f>
        <v>#N/A</v>
      </c>
      <c r="O241" t="e">
        <f t="shared" si="64"/>
        <v>#N/A</v>
      </c>
      <c r="R241">
        <f t="shared" si="66"/>
        <v>1185</v>
      </c>
      <c r="S241" s="3" t="e">
        <f t="shared" si="67"/>
        <v>#N/A</v>
      </c>
      <c r="T241" t="e">
        <f t="shared" si="68"/>
        <v>#N/A</v>
      </c>
      <c r="U241" t="e">
        <f t="shared" si="69"/>
        <v>#N/A</v>
      </c>
      <c r="V241" t="e">
        <f t="shared" si="70"/>
        <v>#N/A</v>
      </c>
      <c r="W241" t="e">
        <f t="shared" si="71"/>
        <v>#N/A</v>
      </c>
      <c r="X241" t="e">
        <f t="shared" si="72"/>
        <v>#N/A</v>
      </c>
    </row>
    <row r="242" spans="1:24" x14ac:dyDescent="0.25">
      <c r="A242" s="7">
        <f>B242/(1-Assump!$D$4)</f>
        <v>1262.1212121212122</v>
      </c>
      <c r="B242" s="1">
        <v>1190</v>
      </c>
      <c r="C242" s="9">
        <f t="shared" si="56"/>
        <v>-88.571428571428669</v>
      </c>
      <c r="D242" t="e">
        <f t="shared" si="57"/>
        <v>#N/A</v>
      </c>
      <c r="E242" t="e">
        <f t="shared" si="58"/>
        <v>#N/A</v>
      </c>
      <c r="F242" t="e">
        <f t="shared" si="59"/>
        <v>#N/A</v>
      </c>
      <c r="G242" t="e">
        <f t="shared" si="60"/>
        <v>#N/A</v>
      </c>
      <c r="H242" t="e">
        <f t="shared" si="61"/>
        <v>#N/A</v>
      </c>
      <c r="I242" t="e">
        <f t="shared" si="65"/>
        <v>#N/A</v>
      </c>
      <c r="J242" t="e">
        <f t="shared" si="73"/>
        <v>#N/A</v>
      </c>
      <c r="L242" t="e">
        <f t="shared" si="62"/>
        <v>#N/A</v>
      </c>
      <c r="M242" t="e">
        <f t="shared" si="63"/>
        <v>#N/A</v>
      </c>
      <c r="N242" s="9" t="e">
        <f>IF(OR($B242&gt;Assump!$E$9,$B242&lt;HVDC_Received_Max),NA(),NI_demand*2)</f>
        <v>#N/A</v>
      </c>
      <c r="O242" t="e">
        <f t="shared" si="64"/>
        <v>#N/A</v>
      </c>
      <c r="R242">
        <f t="shared" si="66"/>
        <v>1190</v>
      </c>
      <c r="S242" s="3" t="e">
        <f t="shared" si="67"/>
        <v>#N/A</v>
      </c>
      <c r="T242" t="e">
        <f t="shared" si="68"/>
        <v>#N/A</v>
      </c>
      <c r="U242" t="e">
        <f t="shared" si="69"/>
        <v>#N/A</v>
      </c>
      <c r="V242" t="e">
        <f t="shared" si="70"/>
        <v>#N/A</v>
      </c>
      <c r="W242" t="e">
        <f t="shared" si="71"/>
        <v>#N/A</v>
      </c>
      <c r="X242" t="e">
        <f t="shared" si="72"/>
        <v>#N/A</v>
      </c>
    </row>
    <row r="243" spans="1:24" x14ac:dyDescent="0.25">
      <c r="A243" s="7">
        <f>B243/(1-Assump!$D$4)</f>
        <v>1267.4242424242425</v>
      </c>
      <c r="B243" s="1">
        <v>1195</v>
      </c>
      <c r="C243" s="9">
        <f t="shared" si="56"/>
        <v>-93.571428571428669</v>
      </c>
      <c r="D243" t="e">
        <f t="shared" si="57"/>
        <v>#N/A</v>
      </c>
      <c r="E243" t="e">
        <f t="shared" si="58"/>
        <v>#N/A</v>
      </c>
      <c r="F243" t="e">
        <f t="shared" si="59"/>
        <v>#N/A</v>
      </c>
      <c r="G243" t="e">
        <f t="shared" si="60"/>
        <v>#N/A</v>
      </c>
      <c r="H243" t="e">
        <f t="shared" si="61"/>
        <v>#N/A</v>
      </c>
      <c r="I243" t="e">
        <f t="shared" si="65"/>
        <v>#N/A</v>
      </c>
      <c r="J243" t="e">
        <f t="shared" si="73"/>
        <v>#N/A</v>
      </c>
      <c r="L243" t="e">
        <f t="shared" si="62"/>
        <v>#N/A</v>
      </c>
      <c r="M243" t="e">
        <f t="shared" si="63"/>
        <v>#N/A</v>
      </c>
      <c r="N243" s="9" t="e">
        <f>IF(OR($B243&gt;Assump!$E$9,$B243&lt;HVDC_Received_Max),NA(),NI_demand*2)</f>
        <v>#N/A</v>
      </c>
      <c r="O243" t="e">
        <f t="shared" si="64"/>
        <v>#N/A</v>
      </c>
      <c r="R243">
        <f t="shared" si="66"/>
        <v>1195</v>
      </c>
      <c r="S243" s="3" t="e">
        <f t="shared" si="67"/>
        <v>#N/A</v>
      </c>
      <c r="T243" t="e">
        <f t="shared" si="68"/>
        <v>#N/A</v>
      </c>
      <c r="U243" t="e">
        <f t="shared" si="69"/>
        <v>#N/A</v>
      </c>
      <c r="V243" t="e">
        <f t="shared" si="70"/>
        <v>#N/A</v>
      </c>
      <c r="W243" t="e">
        <f t="shared" si="71"/>
        <v>#N/A</v>
      </c>
      <c r="X243" t="e">
        <f t="shared" si="72"/>
        <v>#N/A</v>
      </c>
    </row>
    <row r="244" spans="1:24" x14ac:dyDescent="0.25">
      <c r="A244" s="7">
        <f>B244/(1-Assump!$D$4)</f>
        <v>1272.7272727272727</v>
      </c>
      <c r="B244" s="1">
        <v>1200</v>
      </c>
      <c r="C244" s="9">
        <f t="shared" si="56"/>
        <v>-98.571428571428669</v>
      </c>
      <c r="D244" t="e">
        <f t="shared" si="57"/>
        <v>#N/A</v>
      </c>
      <c r="E244" t="e">
        <f t="shared" si="58"/>
        <v>#N/A</v>
      </c>
      <c r="F244" t="e">
        <f t="shared" si="59"/>
        <v>#N/A</v>
      </c>
      <c r="G244" t="e">
        <f t="shared" si="60"/>
        <v>#N/A</v>
      </c>
      <c r="H244" t="e">
        <f t="shared" si="61"/>
        <v>#N/A</v>
      </c>
      <c r="I244" t="e">
        <f t="shared" si="65"/>
        <v>#N/A</v>
      </c>
      <c r="J244" t="e">
        <f t="shared" si="73"/>
        <v>#N/A</v>
      </c>
      <c r="L244" t="e">
        <f t="shared" si="62"/>
        <v>#N/A</v>
      </c>
      <c r="M244" t="e">
        <f t="shared" si="63"/>
        <v>#N/A</v>
      </c>
      <c r="N244" s="9" t="e">
        <f>IF(OR($B244&gt;Assump!$E$9,$B244&lt;HVDC_Received_Max),NA(),NI_demand*2)</f>
        <v>#N/A</v>
      </c>
      <c r="O244" t="e">
        <f t="shared" si="64"/>
        <v>#N/A</v>
      </c>
      <c r="R244">
        <f t="shared" si="66"/>
        <v>1200</v>
      </c>
      <c r="S244" s="3" t="e">
        <f t="shared" si="67"/>
        <v>#N/A</v>
      </c>
      <c r="T244" t="e">
        <f t="shared" si="68"/>
        <v>#N/A</v>
      </c>
      <c r="U244" t="e">
        <f t="shared" si="69"/>
        <v>#N/A</v>
      </c>
      <c r="V244" t="e">
        <f t="shared" si="70"/>
        <v>#N/A</v>
      </c>
      <c r="W244" t="e">
        <f t="shared" si="71"/>
        <v>#N/A</v>
      </c>
      <c r="X244" t="e">
        <f t="shared" si="72"/>
        <v>#N/A</v>
      </c>
    </row>
    <row r="245" spans="1:24" x14ac:dyDescent="0.25">
      <c r="A245" s="7">
        <f>B245/(1-Assump!$D$4)</f>
        <v>1278.030303030303</v>
      </c>
      <c r="B245" s="1">
        <v>1205</v>
      </c>
      <c r="C245" s="9">
        <f t="shared" si="56"/>
        <v>-103.57142857142867</v>
      </c>
      <c r="D245" t="e">
        <f t="shared" si="57"/>
        <v>#N/A</v>
      </c>
      <c r="E245" t="e">
        <f t="shared" si="58"/>
        <v>#N/A</v>
      </c>
      <c r="F245" t="e">
        <f t="shared" si="59"/>
        <v>#N/A</v>
      </c>
      <c r="G245" t="e">
        <f t="shared" si="60"/>
        <v>#N/A</v>
      </c>
      <c r="H245" t="e">
        <f t="shared" si="61"/>
        <v>#N/A</v>
      </c>
      <c r="I245" t="e">
        <f t="shared" ref="I245:I260" si="74">MAX(0,MAX(E245,F245)-H245)</f>
        <v>#N/A</v>
      </c>
      <c r="J245" t="e">
        <f t="shared" ref="J245:J260" si="75">I245-I244</f>
        <v>#N/A</v>
      </c>
      <c r="L245" t="e">
        <f t="shared" si="62"/>
        <v>#N/A</v>
      </c>
      <c r="M245" t="e">
        <f t="shared" si="63"/>
        <v>#N/A</v>
      </c>
      <c r="N245" s="9" t="e">
        <f>IF(OR($B245&gt;Assump!$E$9,$B245&lt;HVDC_Received_Max),NA(),NI_demand*2)</f>
        <v>#N/A</v>
      </c>
      <c r="O245" t="e">
        <f t="shared" ref="O245:O260" si="76">SUM(L245:M245)</f>
        <v>#N/A</v>
      </c>
      <c r="R245">
        <f t="shared" si="66"/>
        <v>1205</v>
      </c>
      <c r="S245" s="3" t="e">
        <f t="shared" si="67"/>
        <v>#N/A</v>
      </c>
      <c r="T245" t="e">
        <f t="shared" si="68"/>
        <v>#N/A</v>
      </c>
      <c r="U245" t="e">
        <f t="shared" si="69"/>
        <v>#N/A</v>
      </c>
      <c r="V245" t="e">
        <f t="shared" si="70"/>
        <v>#N/A</v>
      </c>
      <c r="W245" t="e">
        <f t="shared" si="71"/>
        <v>#N/A</v>
      </c>
      <c r="X245" t="e">
        <f t="shared" si="72"/>
        <v>#N/A</v>
      </c>
    </row>
    <row r="246" spans="1:24" x14ac:dyDescent="0.25">
      <c r="A246" s="7">
        <f>B246/(1-Assump!$D$4)</f>
        <v>1283.3333333333333</v>
      </c>
      <c r="B246" s="1">
        <v>1210</v>
      </c>
      <c r="C246" s="9">
        <f t="shared" si="56"/>
        <v>-108.57142857142867</v>
      </c>
      <c r="D246" t="e">
        <f t="shared" si="57"/>
        <v>#N/A</v>
      </c>
      <c r="E246" t="e">
        <f t="shared" si="58"/>
        <v>#N/A</v>
      </c>
      <c r="F246" t="e">
        <f t="shared" si="59"/>
        <v>#N/A</v>
      </c>
      <c r="G246" t="e">
        <f t="shared" si="60"/>
        <v>#N/A</v>
      </c>
      <c r="H246" t="e">
        <f t="shared" si="61"/>
        <v>#N/A</v>
      </c>
      <c r="I246" t="e">
        <f t="shared" si="74"/>
        <v>#N/A</v>
      </c>
      <c r="J246" t="e">
        <f t="shared" si="75"/>
        <v>#N/A</v>
      </c>
      <c r="L246" t="e">
        <f t="shared" si="62"/>
        <v>#N/A</v>
      </c>
      <c r="M246" t="e">
        <f t="shared" si="63"/>
        <v>#N/A</v>
      </c>
      <c r="N246" s="9" t="e">
        <f>IF(OR($B246&gt;Assump!$E$9,$B246&lt;HVDC_Received_Max),NA(),NI_demand*2)</f>
        <v>#N/A</v>
      </c>
      <c r="O246" t="e">
        <f t="shared" si="76"/>
        <v>#N/A</v>
      </c>
      <c r="R246">
        <f t="shared" si="66"/>
        <v>1210</v>
      </c>
      <c r="S246" s="3" t="e">
        <f t="shared" si="67"/>
        <v>#N/A</v>
      </c>
      <c r="T246" t="e">
        <f t="shared" si="68"/>
        <v>#N/A</v>
      </c>
      <c r="U246" t="e">
        <f t="shared" si="69"/>
        <v>#N/A</v>
      </c>
      <c r="V246" t="e">
        <f t="shared" si="70"/>
        <v>#N/A</v>
      </c>
      <c r="W246" t="e">
        <f t="shared" si="71"/>
        <v>#N/A</v>
      </c>
      <c r="X246" t="e">
        <f t="shared" si="72"/>
        <v>#N/A</v>
      </c>
    </row>
    <row r="247" spans="1:24" x14ac:dyDescent="0.25">
      <c r="A247" s="7">
        <f>B247/(1-Assump!$D$4)</f>
        <v>1288.6363636363637</v>
      </c>
      <c r="B247" s="1">
        <v>1215</v>
      </c>
      <c r="C247" s="9">
        <f t="shared" si="56"/>
        <v>-113.57142857142867</v>
      </c>
      <c r="D247" t="e">
        <f t="shared" si="57"/>
        <v>#N/A</v>
      </c>
      <c r="E247" t="e">
        <f t="shared" si="58"/>
        <v>#N/A</v>
      </c>
      <c r="F247" t="e">
        <f t="shared" si="59"/>
        <v>#N/A</v>
      </c>
      <c r="G247" t="e">
        <f t="shared" si="60"/>
        <v>#N/A</v>
      </c>
      <c r="H247" t="e">
        <f t="shared" si="61"/>
        <v>#N/A</v>
      </c>
      <c r="I247" t="e">
        <f t="shared" si="74"/>
        <v>#N/A</v>
      </c>
      <c r="J247" t="e">
        <f t="shared" si="75"/>
        <v>#N/A</v>
      </c>
      <c r="L247" t="e">
        <f t="shared" si="62"/>
        <v>#N/A</v>
      </c>
      <c r="M247" t="e">
        <f t="shared" si="63"/>
        <v>#N/A</v>
      </c>
      <c r="N247" s="9" t="e">
        <f>IF(OR($B247&gt;Assump!$E$9,$B247&lt;HVDC_Received_Max),NA(),NI_demand*2)</f>
        <v>#N/A</v>
      </c>
      <c r="O247" t="e">
        <f t="shared" si="76"/>
        <v>#N/A</v>
      </c>
      <c r="R247">
        <f t="shared" si="66"/>
        <v>1215</v>
      </c>
      <c r="S247" s="3" t="e">
        <f t="shared" si="67"/>
        <v>#N/A</v>
      </c>
      <c r="T247" t="e">
        <f t="shared" si="68"/>
        <v>#N/A</v>
      </c>
      <c r="U247" t="e">
        <f t="shared" si="69"/>
        <v>#N/A</v>
      </c>
      <c r="V247" t="e">
        <f t="shared" si="70"/>
        <v>#N/A</v>
      </c>
      <c r="W247" t="e">
        <f t="shared" si="71"/>
        <v>#N/A</v>
      </c>
      <c r="X247" t="e">
        <f t="shared" si="72"/>
        <v>#N/A</v>
      </c>
    </row>
    <row r="248" spans="1:24" x14ac:dyDescent="0.25">
      <c r="A248" s="7">
        <f>B248/(1-Assump!$D$4)</f>
        <v>1293.939393939394</v>
      </c>
      <c r="B248" s="1">
        <v>1220</v>
      </c>
      <c r="C248" s="9">
        <f t="shared" si="56"/>
        <v>-118.57142857142867</v>
      </c>
      <c r="D248" t="e">
        <f t="shared" si="57"/>
        <v>#N/A</v>
      </c>
      <c r="E248" t="e">
        <f t="shared" si="58"/>
        <v>#N/A</v>
      </c>
      <c r="F248" t="e">
        <f t="shared" si="59"/>
        <v>#N/A</v>
      </c>
      <c r="G248" t="e">
        <f t="shared" si="60"/>
        <v>#N/A</v>
      </c>
      <c r="H248" t="e">
        <f t="shared" si="61"/>
        <v>#N/A</v>
      </c>
      <c r="I248" t="e">
        <f t="shared" si="74"/>
        <v>#N/A</v>
      </c>
      <c r="J248" t="e">
        <f t="shared" si="75"/>
        <v>#N/A</v>
      </c>
      <c r="L248" t="e">
        <f t="shared" si="62"/>
        <v>#N/A</v>
      </c>
      <c r="M248" t="e">
        <f t="shared" si="63"/>
        <v>#N/A</v>
      </c>
      <c r="N248" s="9" t="e">
        <f>IF(OR($B248&gt;Assump!$E$9,$B248&lt;HVDC_Received_Max),NA(),NI_demand*2)</f>
        <v>#N/A</v>
      </c>
      <c r="O248" t="e">
        <f t="shared" si="76"/>
        <v>#N/A</v>
      </c>
      <c r="R248">
        <f t="shared" si="66"/>
        <v>1220</v>
      </c>
      <c r="S248" s="3" t="e">
        <f t="shared" si="67"/>
        <v>#N/A</v>
      </c>
      <c r="T248" t="e">
        <f t="shared" si="68"/>
        <v>#N/A</v>
      </c>
      <c r="U248" t="e">
        <f t="shared" si="69"/>
        <v>#N/A</v>
      </c>
      <c r="V248" t="e">
        <f t="shared" si="70"/>
        <v>#N/A</v>
      </c>
      <c r="W248" t="e">
        <f t="shared" si="71"/>
        <v>#N/A</v>
      </c>
      <c r="X248" t="e">
        <f t="shared" si="72"/>
        <v>#N/A</v>
      </c>
    </row>
    <row r="249" spans="1:24" x14ac:dyDescent="0.25">
      <c r="A249" s="7">
        <f>B249/(1-Assump!$D$4)</f>
        <v>1299.2424242424242</v>
      </c>
      <c r="B249" s="1">
        <v>1225</v>
      </c>
      <c r="C249" s="9">
        <f t="shared" si="56"/>
        <v>-123.57142857142867</v>
      </c>
      <c r="D249" t="e">
        <f t="shared" si="57"/>
        <v>#N/A</v>
      </c>
      <c r="E249" t="e">
        <f t="shared" si="58"/>
        <v>#N/A</v>
      </c>
      <c r="F249" t="e">
        <f t="shared" si="59"/>
        <v>#N/A</v>
      </c>
      <c r="G249" t="e">
        <f t="shared" si="60"/>
        <v>#N/A</v>
      </c>
      <c r="H249" t="e">
        <f t="shared" si="61"/>
        <v>#N/A</v>
      </c>
      <c r="I249" t="e">
        <f t="shared" si="74"/>
        <v>#N/A</v>
      </c>
      <c r="J249" t="e">
        <f t="shared" si="75"/>
        <v>#N/A</v>
      </c>
      <c r="L249" t="e">
        <f t="shared" si="62"/>
        <v>#N/A</v>
      </c>
      <c r="M249" t="e">
        <f t="shared" si="63"/>
        <v>#N/A</v>
      </c>
      <c r="N249" s="9" t="e">
        <f>IF(OR($B249&gt;Assump!$E$9,$B249&lt;HVDC_Received_Max),NA(),NI_demand*2)</f>
        <v>#N/A</v>
      </c>
      <c r="O249" t="e">
        <f t="shared" si="76"/>
        <v>#N/A</v>
      </c>
      <c r="R249">
        <f t="shared" si="66"/>
        <v>1225</v>
      </c>
      <c r="S249" s="3" t="e">
        <f t="shared" si="67"/>
        <v>#N/A</v>
      </c>
      <c r="T249" t="e">
        <f t="shared" si="68"/>
        <v>#N/A</v>
      </c>
      <c r="U249" t="e">
        <f t="shared" si="69"/>
        <v>#N/A</v>
      </c>
      <c r="V249" t="e">
        <f t="shared" si="70"/>
        <v>#N/A</v>
      </c>
      <c r="W249" t="e">
        <f t="shared" si="71"/>
        <v>#N/A</v>
      </c>
      <c r="X249" t="e">
        <f t="shared" si="72"/>
        <v>#N/A</v>
      </c>
    </row>
    <row r="250" spans="1:24" x14ac:dyDescent="0.25">
      <c r="A250" s="7">
        <f>B250/(1-Assump!$D$4)</f>
        <v>1304.5454545454545</v>
      </c>
      <c r="B250" s="1">
        <v>1230</v>
      </c>
      <c r="C250" s="9">
        <f t="shared" si="56"/>
        <v>-128.57142857142867</v>
      </c>
      <c r="D250" t="e">
        <f t="shared" si="57"/>
        <v>#N/A</v>
      </c>
      <c r="E250" t="e">
        <f t="shared" si="58"/>
        <v>#N/A</v>
      </c>
      <c r="F250" t="e">
        <f t="shared" si="59"/>
        <v>#N/A</v>
      </c>
      <c r="G250" t="e">
        <f t="shared" si="60"/>
        <v>#N/A</v>
      </c>
      <c r="H250" t="e">
        <f t="shared" si="61"/>
        <v>#N/A</v>
      </c>
      <c r="I250" t="e">
        <f t="shared" si="74"/>
        <v>#N/A</v>
      </c>
      <c r="J250" t="e">
        <f t="shared" si="75"/>
        <v>#N/A</v>
      </c>
      <c r="L250" t="e">
        <f t="shared" si="62"/>
        <v>#N/A</v>
      </c>
      <c r="M250" t="e">
        <f t="shared" si="63"/>
        <v>#N/A</v>
      </c>
      <c r="N250" s="9" t="e">
        <f>IF(OR($B250&gt;Assump!$E$9,$B250&lt;HVDC_Received_Max),NA(),NI_demand*2)</f>
        <v>#N/A</v>
      </c>
      <c r="O250" t="e">
        <f t="shared" si="76"/>
        <v>#N/A</v>
      </c>
      <c r="R250">
        <f t="shared" si="66"/>
        <v>1230</v>
      </c>
      <c r="S250" s="3" t="e">
        <f t="shared" si="67"/>
        <v>#N/A</v>
      </c>
      <c r="T250" t="e">
        <f t="shared" si="68"/>
        <v>#N/A</v>
      </c>
      <c r="U250" t="e">
        <f t="shared" si="69"/>
        <v>#N/A</v>
      </c>
      <c r="V250" t="e">
        <f t="shared" si="70"/>
        <v>#N/A</v>
      </c>
      <c r="W250" t="e">
        <f t="shared" si="71"/>
        <v>#N/A</v>
      </c>
      <c r="X250" t="e">
        <f t="shared" si="72"/>
        <v>#N/A</v>
      </c>
    </row>
    <row r="251" spans="1:24" x14ac:dyDescent="0.25">
      <c r="A251" s="7">
        <f>B251/(1-Assump!$D$4)</f>
        <v>1309.848484848485</v>
      </c>
      <c r="B251" s="1">
        <v>1235</v>
      </c>
      <c r="C251" s="9">
        <f t="shared" si="56"/>
        <v>-133.57142857142867</v>
      </c>
      <c r="D251" t="e">
        <f t="shared" si="57"/>
        <v>#N/A</v>
      </c>
      <c r="E251" t="e">
        <f t="shared" si="58"/>
        <v>#N/A</v>
      </c>
      <c r="F251" t="e">
        <f t="shared" si="59"/>
        <v>#N/A</v>
      </c>
      <c r="G251" t="e">
        <f t="shared" si="60"/>
        <v>#N/A</v>
      </c>
      <c r="H251" t="e">
        <f t="shared" si="61"/>
        <v>#N/A</v>
      </c>
      <c r="I251" t="e">
        <f t="shared" si="74"/>
        <v>#N/A</v>
      </c>
      <c r="J251" t="e">
        <f t="shared" si="75"/>
        <v>#N/A</v>
      </c>
      <c r="L251" t="e">
        <f t="shared" si="62"/>
        <v>#N/A</v>
      </c>
      <c r="M251" t="e">
        <f t="shared" si="63"/>
        <v>#N/A</v>
      </c>
      <c r="N251" s="9" t="e">
        <f>IF(OR($B251&gt;Assump!$E$9,$B251&lt;HVDC_Received_Max),NA(),NI_demand*2)</f>
        <v>#N/A</v>
      </c>
      <c r="O251" t="e">
        <f t="shared" si="76"/>
        <v>#N/A</v>
      </c>
      <c r="R251">
        <f t="shared" si="66"/>
        <v>1235</v>
      </c>
      <c r="S251" s="3" t="e">
        <f t="shared" si="67"/>
        <v>#N/A</v>
      </c>
      <c r="T251" t="e">
        <f t="shared" si="68"/>
        <v>#N/A</v>
      </c>
      <c r="U251" t="e">
        <f t="shared" si="69"/>
        <v>#N/A</v>
      </c>
      <c r="V251" t="e">
        <f t="shared" si="70"/>
        <v>#N/A</v>
      </c>
      <c r="W251" t="e">
        <f t="shared" si="71"/>
        <v>#N/A</v>
      </c>
      <c r="X251" t="e">
        <f t="shared" si="72"/>
        <v>#N/A</v>
      </c>
    </row>
    <row r="252" spans="1:24" x14ac:dyDescent="0.25">
      <c r="A252" s="7">
        <f>B252/(1-Assump!$D$4)</f>
        <v>1315.1515151515152</v>
      </c>
      <c r="B252" s="1">
        <v>1240</v>
      </c>
      <c r="C252" s="9">
        <f t="shared" si="56"/>
        <v>-138.57142857142867</v>
      </c>
      <c r="D252" t="e">
        <f t="shared" si="57"/>
        <v>#N/A</v>
      </c>
      <c r="E252" t="e">
        <f t="shared" si="58"/>
        <v>#N/A</v>
      </c>
      <c r="F252" t="e">
        <f t="shared" si="59"/>
        <v>#N/A</v>
      </c>
      <c r="G252" t="e">
        <f t="shared" si="60"/>
        <v>#N/A</v>
      </c>
      <c r="H252" t="e">
        <f t="shared" si="61"/>
        <v>#N/A</v>
      </c>
      <c r="I252" t="e">
        <f t="shared" si="74"/>
        <v>#N/A</v>
      </c>
      <c r="J252" t="e">
        <f t="shared" si="75"/>
        <v>#N/A</v>
      </c>
      <c r="L252" t="e">
        <f t="shared" si="62"/>
        <v>#N/A</v>
      </c>
      <c r="M252" t="e">
        <f t="shared" si="63"/>
        <v>#N/A</v>
      </c>
      <c r="N252" s="9" t="e">
        <f>IF(OR($B252&gt;Assump!$E$9,$B252&lt;HVDC_Received_Max),NA(),NI_demand*2)</f>
        <v>#N/A</v>
      </c>
      <c r="O252" t="e">
        <f t="shared" si="76"/>
        <v>#N/A</v>
      </c>
      <c r="R252">
        <f t="shared" si="66"/>
        <v>1240</v>
      </c>
      <c r="S252" s="3" t="e">
        <f t="shared" si="67"/>
        <v>#N/A</v>
      </c>
      <c r="T252" t="e">
        <f t="shared" si="68"/>
        <v>#N/A</v>
      </c>
      <c r="U252" t="e">
        <f t="shared" si="69"/>
        <v>#N/A</v>
      </c>
      <c r="V252" t="e">
        <f t="shared" si="70"/>
        <v>#N/A</v>
      </c>
      <c r="W252" t="e">
        <f t="shared" si="71"/>
        <v>#N/A</v>
      </c>
      <c r="X252" t="e">
        <f t="shared" si="72"/>
        <v>#N/A</v>
      </c>
    </row>
    <row r="253" spans="1:24" x14ac:dyDescent="0.25">
      <c r="A253" s="7">
        <f>B253/(1-Assump!$D$4)</f>
        <v>1320.4545454545455</v>
      </c>
      <c r="B253" s="1">
        <v>1245</v>
      </c>
      <c r="C253" s="9">
        <f t="shared" si="56"/>
        <v>-143.57142857142867</v>
      </c>
      <c r="D253" t="e">
        <f t="shared" si="57"/>
        <v>#N/A</v>
      </c>
      <c r="E253" t="e">
        <f t="shared" si="58"/>
        <v>#N/A</v>
      </c>
      <c r="F253" t="e">
        <f t="shared" si="59"/>
        <v>#N/A</v>
      </c>
      <c r="G253" t="e">
        <f t="shared" si="60"/>
        <v>#N/A</v>
      </c>
      <c r="H253" t="e">
        <f t="shared" si="61"/>
        <v>#N/A</v>
      </c>
      <c r="I253" t="e">
        <f t="shared" si="74"/>
        <v>#N/A</v>
      </c>
      <c r="J253" t="e">
        <f t="shared" si="75"/>
        <v>#N/A</v>
      </c>
      <c r="L253" t="e">
        <f t="shared" si="62"/>
        <v>#N/A</v>
      </c>
      <c r="M253" t="e">
        <f t="shared" si="63"/>
        <v>#N/A</v>
      </c>
      <c r="N253" s="9" t="e">
        <f>IF(OR($B253&gt;Assump!$E$9,$B253&lt;HVDC_Received_Max),NA(),NI_demand*2)</f>
        <v>#N/A</v>
      </c>
      <c r="O253" t="e">
        <f t="shared" si="76"/>
        <v>#N/A</v>
      </c>
      <c r="R253">
        <f t="shared" si="66"/>
        <v>1245</v>
      </c>
      <c r="S253" s="3" t="e">
        <f t="shared" si="67"/>
        <v>#N/A</v>
      </c>
      <c r="T253" t="e">
        <f t="shared" si="68"/>
        <v>#N/A</v>
      </c>
      <c r="U253" t="e">
        <f t="shared" si="69"/>
        <v>#N/A</v>
      </c>
      <c r="V253" t="e">
        <f t="shared" si="70"/>
        <v>#N/A</v>
      </c>
      <c r="W253" t="e">
        <f t="shared" si="71"/>
        <v>#N/A</v>
      </c>
      <c r="X253" t="e">
        <f t="shared" si="72"/>
        <v>#N/A</v>
      </c>
    </row>
    <row r="254" spans="1:24" x14ac:dyDescent="0.25">
      <c r="A254" s="7">
        <f>B254/(1-Assump!$D$4)</f>
        <v>1325.7575757575758</v>
      </c>
      <c r="B254" s="1">
        <v>1250</v>
      </c>
      <c r="C254" s="9">
        <f t="shared" si="56"/>
        <v>-148.57142857142867</v>
      </c>
      <c r="D254" t="e">
        <f t="shared" si="57"/>
        <v>#N/A</v>
      </c>
      <c r="E254" t="e">
        <f t="shared" si="58"/>
        <v>#N/A</v>
      </c>
      <c r="F254" t="e">
        <f t="shared" si="59"/>
        <v>#N/A</v>
      </c>
      <c r="G254" t="e">
        <f t="shared" si="60"/>
        <v>#N/A</v>
      </c>
      <c r="H254" t="e">
        <f t="shared" si="61"/>
        <v>#N/A</v>
      </c>
      <c r="I254" t="e">
        <f t="shared" si="74"/>
        <v>#N/A</v>
      </c>
      <c r="J254" t="e">
        <f t="shared" si="75"/>
        <v>#N/A</v>
      </c>
      <c r="L254" t="e">
        <f t="shared" si="62"/>
        <v>#N/A</v>
      </c>
      <c r="M254" t="e">
        <f t="shared" si="63"/>
        <v>#N/A</v>
      </c>
      <c r="N254" s="9" t="e">
        <f>IF(OR($B254&gt;Assump!$E$9,$B254&lt;HVDC_Received_Max),NA(),NI_demand*2)</f>
        <v>#N/A</v>
      </c>
      <c r="O254" t="e">
        <f t="shared" si="76"/>
        <v>#N/A</v>
      </c>
      <c r="R254">
        <f t="shared" si="66"/>
        <v>1250</v>
      </c>
      <c r="S254" s="3" t="e">
        <f t="shared" si="67"/>
        <v>#N/A</v>
      </c>
      <c r="T254" t="e">
        <f t="shared" si="68"/>
        <v>#N/A</v>
      </c>
      <c r="U254" t="e">
        <f t="shared" si="69"/>
        <v>#N/A</v>
      </c>
      <c r="V254" t="e">
        <f t="shared" si="70"/>
        <v>#N/A</v>
      </c>
      <c r="W254" t="e">
        <f t="shared" si="71"/>
        <v>#N/A</v>
      </c>
      <c r="X254" t="e">
        <f t="shared" si="72"/>
        <v>#N/A</v>
      </c>
    </row>
    <row r="255" spans="1:24" x14ac:dyDescent="0.25">
      <c r="A255" s="7">
        <f>B255/(1-Assump!$D$4)</f>
        <v>1331.060606060606</v>
      </c>
      <c r="B255" s="1">
        <v>1255</v>
      </c>
      <c r="C255" s="9">
        <f t="shared" si="56"/>
        <v>-153.57142857142867</v>
      </c>
      <c r="D255" t="e">
        <f t="shared" si="57"/>
        <v>#N/A</v>
      </c>
      <c r="E255" t="e">
        <f t="shared" si="58"/>
        <v>#N/A</v>
      </c>
      <c r="F255" t="e">
        <f t="shared" si="59"/>
        <v>#N/A</v>
      </c>
      <c r="G255" t="e">
        <f t="shared" si="60"/>
        <v>#N/A</v>
      </c>
      <c r="H255" t="e">
        <f t="shared" si="61"/>
        <v>#N/A</v>
      </c>
      <c r="I255" t="e">
        <f t="shared" si="74"/>
        <v>#N/A</v>
      </c>
      <c r="J255" t="e">
        <f t="shared" si="75"/>
        <v>#N/A</v>
      </c>
      <c r="L255" t="e">
        <f t="shared" si="62"/>
        <v>#N/A</v>
      </c>
      <c r="M255" t="e">
        <f t="shared" si="63"/>
        <v>#N/A</v>
      </c>
      <c r="N255" s="9" t="e">
        <f>IF(OR($B255&gt;Assump!$E$9,$B255&lt;HVDC_Received_Max),NA(),NI_demand*2)</f>
        <v>#N/A</v>
      </c>
      <c r="O255" t="e">
        <f t="shared" si="76"/>
        <v>#N/A</v>
      </c>
      <c r="R255">
        <f t="shared" si="66"/>
        <v>1255</v>
      </c>
      <c r="S255" s="3" t="e">
        <f t="shared" si="67"/>
        <v>#N/A</v>
      </c>
      <c r="T255" t="e">
        <f t="shared" si="68"/>
        <v>#N/A</v>
      </c>
      <c r="U255" t="e">
        <f t="shared" si="69"/>
        <v>#N/A</v>
      </c>
      <c r="V255" t="e">
        <f t="shared" si="70"/>
        <v>#N/A</v>
      </c>
      <c r="W255" t="e">
        <f t="shared" si="71"/>
        <v>#N/A</v>
      </c>
      <c r="X255" t="e">
        <f t="shared" si="72"/>
        <v>#N/A</v>
      </c>
    </row>
    <row r="256" spans="1:24" x14ac:dyDescent="0.25">
      <c r="A256" s="7">
        <f>B256/(1-Assump!$D$4)</f>
        <v>1336.3636363636365</v>
      </c>
      <c r="B256" s="1">
        <v>1260</v>
      </c>
      <c r="C256" s="9">
        <f t="shared" si="56"/>
        <v>-158.57142857142867</v>
      </c>
      <c r="D256" t="e">
        <f t="shared" si="57"/>
        <v>#N/A</v>
      </c>
      <c r="E256" t="e">
        <f t="shared" si="58"/>
        <v>#N/A</v>
      </c>
      <c r="F256" t="e">
        <f t="shared" si="59"/>
        <v>#N/A</v>
      </c>
      <c r="G256" t="e">
        <f t="shared" si="60"/>
        <v>#N/A</v>
      </c>
      <c r="H256" t="e">
        <f t="shared" si="61"/>
        <v>#N/A</v>
      </c>
      <c r="I256" t="e">
        <f t="shared" si="74"/>
        <v>#N/A</v>
      </c>
      <c r="J256" t="e">
        <f t="shared" si="75"/>
        <v>#N/A</v>
      </c>
      <c r="L256" t="e">
        <f t="shared" si="62"/>
        <v>#N/A</v>
      </c>
      <c r="M256" t="e">
        <f t="shared" si="63"/>
        <v>#N/A</v>
      </c>
      <c r="N256" s="9" t="e">
        <f>IF(OR($B256&gt;Assump!$E$9,$B256&lt;HVDC_Received_Max),NA(),NI_demand*2)</f>
        <v>#N/A</v>
      </c>
      <c r="O256" t="e">
        <f t="shared" si="76"/>
        <v>#N/A</v>
      </c>
      <c r="R256">
        <f t="shared" si="66"/>
        <v>1260</v>
      </c>
      <c r="S256" s="3" t="e">
        <f t="shared" si="67"/>
        <v>#N/A</v>
      </c>
      <c r="T256" t="e">
        <f t="shared" si="68"/>
        <v>#N/A</v>
      </c>
      <c r="U256" t="e">
        <f t="shared" si="69"/>
        <v>#N/A</v>
      </c>
      <c r="V256" t="e">
        <f t="shared" si="70"/>
        <v>#N/A</v>
      </c>
      <c r="W256" t="e">
        <f t="shared" si="71"/>
        <v>#N/A</v>
      </c>
      <c r="X256" t="e">
        <f t="shared" si="72"/>
        <v>#N/A</v>
      </c>
    </row>
    <row r="257" spans="1:24" x14ac:dyDescent="0.25">
      <c r="A257" s="7">
        <f>B257/(1-Assump!$D$4)</f>
        <v>1341.6666666666667</v>
      </c>
      <c r="B257" s="1">
        <v>1265</v>
      </c>
      <c r="C257" s="9">
        <f t="shared" si="56"/>
        <v>-163.57142857142867</v>
      </c>
      <c r="D257" t="e">
        <f t="shared" si="57"/>
        <v>#N/A</v>
      </c>
      <c r="E257" t="e">
        <f t="shared" si="58"/>
        <v>#N/A</v>
      </c>
      <c r="F257" t="e">
        <f t="shared" si="59"/>
        <v>#N/A</v>
      </c>
      <c r="G257" t="e">
        <f t="shared" si="60"/>
        <v>#N/A</v>
      </c>
      <c r="H257" t="e">
        <f t="shared" si="61"/>
        <v>#N/A</v>
      </c>
      <c r="I257" t="e">
        <f t="shared" si="74"/>
        <v>#N/A</v>
      </c>
      <c r="J257" t="e">
        <f t="shared" si="75"/>
        <v>#N/A</v>
      </c>
      <c r="L257" t="e">
        <f t="shared" si="62"/>
        <v>#N/A</v>
      </c>
      <c r="M257" t="e">
        <f t="shared" si="63"/>
        <v>#N/A</v>
      </c>
      <c r="N257" s="9" t="e">
        <f>IF(OR($B257&gt;Assump!$E$9,$B257&lt;HVDC_Received_Max),NA(),NI_demand*2)</f>
        <v>#N/A</v>
      </c>
      <c r="O257" t="e">
        <f t="shared" si="76"/>
        <v>#N/A</v>
      </c>
      <c r="R257">
        <f t="shared" si="66"/>
        <v>1265</v>
      </c>
      <c r="S257" s="3" t="e">
        <f t="shared" si="67"/>
        <v>#N/A</v>
      </c>
      <c r="T257" t="e">
        <f t="shared" si="68"/>
        <v>#N/A</v>
      </c>
      <c r="U257" t="e">
        <f t="shared" si="69"/>
        <v>#N/A</v>
      </c>
      <c r="V257" t="e">
        <f t="shared" si="70"/>
        <v>#N/A</v>
      </c>
      <c r="W257" t="e">
        <f t="shared" si="71"/>
        <v>#N/A</v>
      </c>
      <c r="X257" t="e">
        <f t="shared" si="72"/>
        <v>#N/A</v>
      </c>
    </row>
    <row r="258" spans="1:24" x14ac:dyDescent="0.25">
      <c r="A258" s="7">
        <f>B258/(1-Assump!$D$4)</f>
        <v>1346.969696969697</v>
      </c>
      <c r="B258" s="1">
        <v>1270</v>
      </c>
      <c r="C258" s="9">
        <f t="shared" si="56"/>
        <v>-168.57142857142867</v>
      </c>
      <c r="D258" t="e">
        <f t="shared" si="57"/>
        <v>#N/A</v>
      </c>
      <c r="E258" t="e">
        <f t="shared" si="58"/>
        <v>#N/A</v>
      </c>
      <c r="F258" t="e">
        <f t="shared" si="59"/>
        <v>#N/A</v>
      </c>
      <c r="G258" t="e">
        <f t="shared" si="60"/>
        <v>#N/A</v>
      </c>
      <c r="H258" t="e">
        <f t="shared" si="61"/>
        <v>#N/A</v>
      </c>
      <c r="I258" t="e">
        <f t="shared" si="74"/>
        <v>#N/A</v>
      </c>
      <c r="J258" t="e">
        <f t="shared" si="75"/>
        <v>#N/A</v>
      </c>
      <c r="L258" t="e">
        <f t="shared" si="62"/>
        <v>#N/A</v>
      </c>
      <c r="M258" t="e">
        <f t="shared" si="63"/>
        <v>#N/A</v>
      </c>
      <c r="N258" s="9" t="e">
        <f>IF(OR($B258&gt;Assump!$E$9,$B258&lt;HVDC_Received_Max),NA(),NI_demand*2)</f>
        <v>#N/A</v>
      </c>
      <c r="O258" t="e">
        <f t="shared" si="76"/>
        <v>#N/A</v>
      </c>
      <c r="R258">
        <f t="shared" si="66"/>
        <v>1270</v>
      </c>
      <c r="S258" s="3" t="e">
        <f t="shared" si="67"/>
        <v>#N/A</v>
      </c>
      <c r="T258" t="e">
        <f t="shared" si="68"/>
        <v>#N/A</v>
      </c>
      <c r="U258" t="e">
        <f t="shared" si="69"/>
        <v>#N/A</v>
      </c>
      <c r="V258" t="e">
        <f t="shared" si="70"/>
        <v>#N/A</v>
      </c>
      <c r="W258" t="e">
        <f t="shared" si="71"/>
        <v>#N/A</v>
      </c>
      <c r="X258" t="e">
        <f t="shared" si="72"/>
        <v>#N/A</v>
      </c>
    </row>
    <row r="259" spans="1:24" x14ac:dyDescent="0.25">
      <c r="A259" s="7">
        <f>B259/(1-Assump!$D$4)</f>
        <v>1352.2727272727273</v>
      </c>
      <c r="B259" s="1">
        <v>1275</v>
      </c>
      <c r="C259" s="9">
        <f t="shared" si="56"/>
        <v>-173.57142857142867</v>
      </c>
      <c r="D259" t="e">
        <f t="shared" si="57"/>
        <v>#N/A</v>
      </c>
      <c r="E259" t="e">
        <f t="shared" si="58"/>
        <v>#N/A</v>
      </c>
      <c r="F259" t="e">
        <f t="shared" si="59"/>
        <v>#N/A</v>
      </c>
      <c r="G259" t="e">
        <f t="shared" si="60"/>
        <v>#N/A</v>
      </c>
      <c r="H259" t="e">
        <f t="shared" si="61"/>
        <v>#N/A</v>
      </c>
      <c r="I259" t="e">
        <f t="shared" si="74"/>
        <v>#N/A</v>
      </c>
      <c r="J259" t="e">
        <f t="shared" si="75"/>
        <v>#N/A</v>
      </c>
      <c r="L259" t="e">
        <f t="shared" si="62"/>
        <v>#N/A</v>
      </c>
      <c r="M259" t="e">
        <f t="shared" si="63"/>
        <v>#N/A</v>
      </c>
      <c r="N259" s="9" t="e">
        <f>IF(OR($B259&gt;Assump!$E$9,$B259&lt;HVDC_Received_Max),NA(),NI_demand*2)</f>
        <v>#N/A</v>
      </c>
      <c r="O259" t="e">
        <f t="shared" si="76"/>
        <v>#N/A</v>
      </c>
      <c r="R259">
        <f t="shared" si="66"/>
        <v>1275</v>
      </c>
      <c r="S259" s="3" t="e">
        <f t="shared" si="67"/>
        <v>#N/A</v>
      </c>
      <c r="T259" t="e">
        <f t="shared" si="68"/>
        <v>#N/A</v>
      </c>
      <c r="U259" t="e">
        <f t="shared" si="69"/>
        <v>#N/A</v>
      </c>
      <c r="V259" t="e">
        <f t="shared" si="70"/>
        <v>#N/A</v>
      </c>
      <c r="W259" t="e">
        <f t="shared" si="71"/>
        <v>#N/A</v>
      </c>
      <c r="X259" t="e">
        <f t="shared" si="72"/>
        <v>#N/A</v>
      </c>
    </row>
    <row r="260" spans="1:24" x14ac:dyDescent="0.25">
      <c r="A260" s="7">
        <f>B260/(1-Assump!$D$4)</f>
        <v>1357.5757575757575</v>
      </c>
      <c r="B260" s="1">
        <v>1280</v>
      </c>
      <c r="C260" s="9">
        <f t="shared" ref="C260:C284" si="77">MIN(HVDC_IR_transfer_cap,HVDC_Received_Max-B260-ModulationRisk)</f>
        <v>-178.57142857142867</v>
      </c>
      <c r="D260" t="e">
        <f t="shared" ref="D260:D284" si="78">IF($B260&lt;HVDC_Received_Max,MAX(0,MIN(AC_CE,C260)),NA())</f>
        <v>#N/A</v>
      </c>
      <c r="E260" t="e">
        <f t="shared" ref="E260:E284" si="79">IF($B260&lt;HVDC_Received_Max,B260-Pole2_limit+ModulationRisk,NA())</f>
        <v>#N/A</v>
      </c>
      <c r="F260" t="e">
        <f t="shared" ref="F260:F284" si="80">IF($B260&lt;HVDC_Received_Max,MAX(0,MIN(AC_CE,AC_CE-C260)),NA())</f>
        <v>#N/A</v>
      </c>
      <c r="G260" t="e">
        <f t="shared" ref="G260:G284" si="81">IF($B260&lt;HVDC_Received_Max,AC_CE,NA())</f>
        <v>#N/A</v>
      </c>
      <c r="H260" t="e">
        <f t="shared" ref="H260:H284" si="82">IF($B260&lt;HVDC_Received_Max,NI_IL,NA())</f>
        <v>#N/A</v>
      </c>
      <c r="I260" t="e">
        <f t="shared" si="74"/>
        <v>#N/A</v>
      </c>
      <c r="J260" t="e">
        <f t="shared" si="75"/>
        <v>#N/A</v>
      </c>
      <c r="L260" t="e">
        <f t="shared" ref="L260:L284" si="83">IF($B260&lt;HVDC_Received_Max,NI_demand-$B260,NA())</f>
        <v>#N/A</v>
      </c>
      <c r="M260" t="e">
        <f t="shared" ref="M260:M284" si="84">IF($B260&lt;HVDC_Received_Max,I260,NA())</f>
        <v>#N/A</v>
      </c>
      <c r="N260" s="9" t="e">
        <f>IF(OR($B260&gt;Assump!$E$9,$B260&lt;HVDC_Received_Max),NA(),NI_demand*2)</f>
        <v>#N/A</v>
      </c>
      <c r="O260" t="e">
        <f t="shared" si="76"/>
        <v>#N/A</v>
      </c>
      <c r="R260">
        <f t="shared" si="66"/>
        <v>1280</v>
      </c>
      <c r="S260" s="3" t="e">
        <f t="shared" si="67"/>
        <v>#N/A</v>
      </c>
      <c r="T260" t="e">
        <f t="shared" si="68"/>
        <v>#N/A</v>
      </c>
      <c r="U260" t="e">
        <f t="shared" si="69"/>
        <v>#N/A</v>
      </c>
      <c r="V260" t="e">
        <f t="shared" si="70"/>
        <v>#N/A</v>
      </c>
      <c r="W260" t="e">
        <f t="shared" si="71"/>
        <v>#N/A</v>
      </c>
      <c r="X260" t="e">
        <f t="shared" si="72"/>
        <v>#N/A</v>
      </c>
    </row>
    <row r="261" spans="1:24" x14ac:dyDescent="0.25">
      <c r="A261" s="7">
        <f>B261/(1-Assump!$D$4)</f>
        <v>1362.878787878788</v>
      </c>
      <c r="B261" s="1">
        <v>1285</v>
      </c>
      <c r="C261" s="9">
        <f t="shared" si="77"/>
        <v>-183.57142857142867</v>
      </c>
      <c r="D261" t="e">
        <f t="shared" si="78"/>
        <v>#N/A</v>
      </c>
      <c r="E261" t="e">
        <f t="shared" si="79"/>
        <v>#N/A</v>
      </c>
      <c r="F261" t="e">
        <f t="shared" si="80"/>
        <v>#N/A</v>
      </c>
      <c r="G261" t="e">
        <f t="shared" si="81"/>
        <v>#N/A</v>
      </c>
      <c r="H261" t="e">
        <f t="shared" si="82"/>
        <v>#N/A</v>
      </c>
      <c r="I261" t="e">
        <f t="shared" ref="I261:I284" si="85">MAX(0,MAX(E261,F261)-H261)</f>
        <v>#N/A</v>
      </c>
      <c r="J261" t="e">
        <f t="shared" ref="J261:J284" si="86">I261-I260</f>
        <v>#N/A</v>
      </c>
      <c r="L261" t="e">
        <f t="shared" si="83"/>
        <v>#N/A</v>
      </c>
      <c r="M261" t="e">
        <f t="shared" si="84"/>
        <v>#N/A</v>
      </c>
      <c r="N261" s="9" t="e">
        <f>IF(OR($B261&gt;Assump!$E$9,$B261&lt;HVDC_Received_Max),NA(),NI_demand*2)</f>
        <v>#N/A</v>
      </c>
      <c r="O261" t="e">
        <f t="shared" ref="O261:O284" si="87">SUM(L261:M261)</f>
        <v>#N/A</v>
      </c>
      <c r="R261">
        <f t="shared" ref="R261:R284" si="88">B261</f>
        <v>1285</v>
      </c>
      <c r="S261" s="3" t="e">
        <f t="shared" ref="S261:S284" si="89">G261</f>
        <v>#N/A</v>
      </c>
      <c r="T261" t="e">
        <f t="shared" ref="T261:T284" si="90">D261</f>
        <v>#N/A</v>
      </c>
      <c r="U261" t="e">
        <f t="shared" ref="U261:U284" si="91">F261</f>
        <v>#N/A</v>
      </c>
      <c r="V261" t="e">
        <f t="shared" ref="V261:V284" si="92">E261</f>
        <v>#N/A</v>
      </c>
      <c r="W261" t="e">
        <f t="shared" ref="W261:W284" si="93">MAX(U261:V261)</f>
        <v>#N/A</v>
      </c>
      <c r="X261" t="e">
        <f t="shared" ref="X261:X284" si="94">MAX(S261,V261)</f>
        <v>#N/A</v>
      </c>
    </row>
    <row r="262" spans="1:24" x14ac:dyDescent="0.25">
      <c r="A262" s="7">
        <f>B262/(1-Assump!$D$4)</f>
        <v>1368.1818181818182</v>
      </c>
      <c r="B262" s="1">
        <v>1290</v>
      </c>
      <c r="C262" s="9">
        <f t="shared" si="77"/>
        <v>-188.57142857142867</v>
      </c>
      <c r="D262" t="e">
        <f t="shared" si="78"/>
        <v>#N/A</v>
      </c>
      <c r="E262" t="e">
        <f t="shared" si="79"/>
        <v>#N/A</v>
      </c>
      <c r="F262" t="e">
        <f t="shared" si="80"/>
        <v>#N/A</v>
      </c>
      <c r="G262" t="e">
        <f t="shared" si="81"/>
        <v>#N/A</v>
      </c>
      <c r="H262" t="e">
        <f t="shared" si="82"/>
        <v>#N/A</v>
      </c>
      <c r="I262" t="e">
        <f t="shared" si="85"/>
        <v>#N/A</v>
      </c>
      <c r="J262" t="e">
        <f t="shared" si="86"/>
        <v>#N/A</v>
      </c>
      <c r="L262" t="e">
        <f t="shared" si="83"/>
        <v>#N/A</v>
      </c>
      <c r="M262" t="e">
        <f t="shared" si="84"/>
        <v>#N/A</v>
      </c>
      <c r="N262" s="9" t="e">
        <f>IF(OR($B262&gt;Assump!$E$9,$B262&lt;HVDC_Received_Max),NA(),NI_demand*2)</f>
        <v>#N/A</v>
      </c>
      <c r="O262" t="e">
        <f t="shared" si="87"/>
        <v>#N/A</v>
      </c>
      <c r="R262">
        <f t="shared" si="88"/>
        <v>1290</v>
      </c>
      <c r="S262" s="3" t="e">
        <f t="shared" si="89"/>
        <v>#N/A</v>
      </c>
      <c r="T262" t="e">
        <f t="shared" si="90"/>
        <v>#N/A</v>
      </c>
      <c r="U262" t="e">
        <f t="shared" si="91"/>
        <v>#N/A</v>
      </c>
      <c r="V262" t="e">
        <f t="shared" si="92"/>
        <v>#N/A</v>
      </c>
      <c r="W262" t="e">
        <f t="shared" si="93"/>
        <v>#N/A</v>
      </c>
      <c r="X262" t="e">
        <f t="shared" si="94"/>
        <v>#N/A</v>
      </c>
    </row>
    <row r="263" spans="1:24" x14ac:dyDescent="0.25">
      <c r="A263" s="7">
        <f>B263/(1-Assump!$D$4)</f>
        <v>1373.4848484848485</v>
      </c>
      <c r="B263" s="1">
        <v>1295</v>
      </c>
      <c r="C263" s="9">
        <f t="shared" si="77"/>
        <v>-193.57142857142867</v>
      </c>
      <c r="D263" t="e">
        <f t="shared" si="78"/>
        <v>#N/A</v>
      </c>
      <c r="E263" t="e">
        <f t="shared" si="79"/>
        <v>#N/A</v>
      </c>
      <c r="F263" t="e">
        <f t="shared" si="80"/>
        <v>#N/A</v>
      </c>
      <c r="G263" t="e">
        <f t="shared" si="81"/>
        <v>#N/A</v>
      </c>
      <c r="H263" t="e">
        <f t="shared" si="82"/>
        <v>#N/A</v>
      </c>
      <c r="I263" t="e">
        <f t="shared" si="85"/>
        <v>#N/A</v>
      </c>
      <c r="J263" t="e">
        <f t="shared" si="86"/>
        <v>#N/A</v>
      </c>
      <c r="L263" t="e">
        <f t="shared" si="83"/>
        <v>#N/A</v>
      </c>
      <c r="M263" t="e">
        <f t="shared" si="84"/>
        <v>#N/A</v>
      </c>
      <c r="N263" s="9" t="e">
        <f>IF(OR($B263&gt;Assump!$E$9,$B263&lt;HVDC_Received_Max),NA(),NI_demand*2)</f>
        <v>#N/A</v>
      </c>
      <c r="O263" t="e">
        <f t="shared" si="87"/>
        <v>#N/A</v>
      </c>
      <c r="R263">
        <f t="shared" si="88"/>
        <v>1295</v>
      </c>
      <c r="S263" s="3" t="e">
        <f t="shared" si="89"/>
        <v>#N/A</v>
      </c>
      <c r="T263" t="e">
        <f t="shared" si="90"/>
        <v>#N/A</v>
      </c>
      <c r="U263" t="e">
        <f t="shared" si="91"/>
        <v>#N/A</v>
      </c>
      <c r="V263" t="e">
        <f t="shared" si="92"/>
        <v>#N/A</v>
      </c>
      <c r="W263" t="e">
        <f t="shared" si="93"/>
        <v>#N/A</v>
      </c>
      <c r="X263" t="e">
        <f t="shared" si="94"/>
        <v>#N/A</v>
      </c>
    </row>
    <row r="264" spans="1:24" x14ac:dyDescent="0.25">
      <c r="A264" s="7">
        <f>B264/(1-Assump!$D$4)</f>
        <v>1378.7878787878788</v>
      </c>
      <c r="B264" s="1">
        <v>1300</v>
      </c>
      <c r="C264" s="9">
        <f t="shared" si="77"/>
        <v>-198.57142857142867</v>
      </c>
      <c r="D264" t="e">
        <f t="shared" si="78"/>
        <v>#N/A</v>
      </c>
      <c r="E264" t="e">
        <f t="shared" si="79"/>
        <v>#N/A</v>
      </c>
      <c r="F264" t="e">
        <f t="shared" si="80"/>
        <v>#N/A</v>
      </c>
      <c r="G264" t="e">
        <f t="shared" si="81"/>
        <v>#N/A</v>
      </c>
      <c r="H264" t="e">
        <f t="shared" si="82"/>
        <v>#N/A</v>
      </c>
      <c r="I264" t="e">
        <f t="shared" si="85"/>
        <v>#N/A</v>
      </c>
      <c r="J264" t="e">
        <f t="shared" si="86"/>
        <v>#N/A</v>
      </c>
      <c r="L264" t="e">
        <f t="shared" si="83"/>
        <v>#N/A</v>
      </c>
      <c r="M264" t="e">
        <f t="shared" si="84"/>
        <v>#N/A</v>
      </c>
      <c r="N264" s="9" t="e">
        <f>IF(OR($B264&gt;Assump!$E$9,$B264&lt;HVDC_Received_Max),NA(),NI_demand*2)</f>
        <v>#N/A</v>
      </c>
      <c r="O264" t="e">
        <f t="shared" si="87"/>
        <v>#N/A</v>
      </c>
      <c r="R264">
        <f t="shared" si="88"/>
        <v>1300</v>
      </c>
      <c r="S264" s="3" t="e">
        <f t="shared" si="89"/>
        <v>#N/A</v>
      </c>
      <c r="T264" t="e">
        <f t="shared" si="90"/>
        <v>#N/A</v>
      </c>
      <c r="U264" t="e">
        <f t="shared" si="91"/>
        <v>#N/A</v>
      </c>
      <c r="V264" t="e">
        <f t="shared" si="92"/>
        <v>#N/A</v>
      </c>
      <c r="W264" t="e">
        <f t="shared" si="93"/>
        <v>#N/A</v>
      </c>
      <c r="X264" t="e">
        <f t="shared" si="94"/>
        <v>#N/A</v>
      </c>
    </row>
    <row r="265" spans="1:24" x14ac:dyDescent="0.25">
      <c r="A265" s="7">
        <f>B265/(1-Assump!$D$4)</f>
        <v>1384.090909090909</v>
      </c>
      <c r="B265" s="1">
        <v>1305</v>
      </c>
      <c r="C265" s="9">
        <f t="shared" si="77"/>
        <v>-203.57142857142867</v>
      </c>
      <c r="D265" t="e">
        <f t="shared" si="78"/>
        <v>#N/A</v>
      </c>
      <c r="E265" t="e">
        <f t="shared" si="79"/>
        <v>#N/A</v>
      </c>
      <c r="F265" t="e">
        <f t="shared" si="80"/>
        <v>#N/A</v>
      </c>
      <c r="G265" t="e">
        <f t="shared" si="81"/>
        <v>#N/A</v>
      </c>
      <c r="H265" t="e">
        <f t="shared" si="82"/>
        <v>#N/A</v>
      </c>
      <c r="I265" t="e">
        <f t="shared" si="85"/>
        <v>#N/A</v>
      </c>
      <c r="J265" t="e">
        <f t="shared" si="86"/>
        <v>#N/A</v>
      </c>
      <c r="L265" t="e">
        <f t="shared" si="83"/>
        <v>#N/A</v>
      </c>
      <c r="M265" t="e">
        <f t="shared" si="84"/>
        <v>#N/A</v>
      </c>
      <c r="N265" s="9" t="e">
        <f>IF(OR($B265&gt;Assump!$E$9,$B265&lt;HVDC_Received_Max),NA(),NI_demand*2)</f>
        <v>#N/A</v>
      </c>
      <c r="O265" t="e">
        <f t="shared" si="87"/>
        <v>#N/A</v>
      </c>
      <c r="R265">
        <f t="shared" si="88"/>
        <v>1305</v>
      </c>
      <c r="S265" s="3" t="e">
        <f t="shared" si="89"/>
        <v>#N/A</v>
      </c>
      <c r="T265" t="e">
        <f t="shared" si="90"/>
        <v>#N/A</v>
      </c>
      <c r="U265" t="e">
        <f t="shared" si="91"/>
        <v>#N/A</v>
      </c>
      <c r="V265" t="e">
        <f t="shared" si="92"/>
        <v>#N/A</v>
      </c>
      <c r="W265" t="e">
        <f t="shared" si="93"/>
        <v>#N/A</v>
      </c>
      <c r="X265" t="e">
        <f t="shared" si="94"/>
        <v>#N/A</v>
      </c>
    </row>
    <row r="266" spans="1:24" x14ac:dyDescent="0.25">
      <c r="A266" s="7">
        <f>B266/(1-Assump!$D$4)</f>
        <v>1389.3939393939395</v>
      </c>
      <c r="B266" s="1">
        <v>1310</v>
      </c>
      <c r="C266" s="9">
        <f t="shared" si="77"/>
        <v>-208.57142857142867</v>
      </c>
      <c r="D266" t="e">
        <f t="shared" si="78"/>
        <v>#N/A</v>
      </c>
      <c r="E266" t="e">
        <f t="shared" si="79"/>
        <v>#N/A</v>
      </c>
      <c r="F266" t="e">
        <f t="shared" si="80"/>
        <v>#N/A</v>
      </c>
      <c r="G266" t="e">
        <f t="shared" si="81"/>
        <v>#N/A</v>
      </c>
      <c r="H266" t="e">
        <f t="shared" si="82"/>
        <v>#N/A</v>
      </c>
      <c r="I266" t="e">
        <f t="shared" si="85"/>
        <v>#N/A</v>
      </c>
      <c r="J266" t="e">
        <f t="shared" si="86"/>
        <v>#N/A</v>
      </c>
      <c r="L266" t="e">
        <f t="shared" si="83"/>
        <v>#N/A</v>
      </c>
      <c r="M266" t="e">
        <f t="shared" si="84"/>
        <v>#N/A</v>
      </c>
      <c r="N266" s="9" t="e">
        <f>IF(OR($B266&gt;Assump!$E$9,$B266&lt;HVDC_Received_Max),NA(),NI_demand*2)</f>
        <v>#N/A</v>
      </c>
      <c r="O266" t="e">
        <f t="shared" si="87"/>
        <v>#N/A</v>
      </c>
      <c r="R266">
        <f t="shared" si="88"/>
        <v>1310</v>
      </c>
      <c r="S266" s="3" t="e">
        <f t="shared" si="89"/>
        <v>#N/A</v>
      </c>
      <c r="T266" t="e">
        <f t="shared" si="90"/>
        <v>#N/A</v>
      </c>
      <c r="U266" t="e">
        <f t="shared" si="91"/>
        <v>#N/A</v>
      </c>
      <c r="V266" t="e">
        <f t="shared" si="92"/>
        <v>#N/A</v>
      </c>
      <c r="W266" t="e">
        <f t="shared" si="93"/>
        <v>#N/A</v>
      </c>
      <c r="X266" t="e">
        <f t="shared" si="94"/>
        <v>#N/A</v>
      </c>
    </row>
    <row r="267" spans="1:24" x14ac:dyDescent="0.25">
      <c r="A267" s="7">
        <f>B267/(1-Assump!$D$4)</f>
        <v>1394.6969696969697</v>
      </c>
      <c r="B267" s="1">
        <v>1315</v>
      </c>
      <c r="C267" s="9">
        <f t="shared" si="77"/>
        <v>-213.57142857142867</v>
      </c>
      <c r="D267" t="e">
        <f t="shared" si="78"/>
        <v>#N/A</v>
      </c>
      <c r="E267" t="e">
        <f t="shared" si="79"/>
        <v>#N/A</v>
      </c>
      <c r="F267" t="e">
        <f t="shared" si="80"/>
        <v>#N/A</v>
      </c>
      <c r="G267" t="e">
        <f t="shared" si="81"/>
        <v>#N/A</v>
      </c>
      <c r="H267" t="e">
        <f t="shared" si="82"/>
        <v>#N/A</v>
      </c>
      <c r="I267" t="e">
        <f t="shared" si="85"/>
        <v>#N/A</v>
      </c>
      <c r="J267" t="e">
        <f t="shared" si="86"/>
        <v>#N/A</v>
      </c>
      <c r="L267" t="e">
        <f t="shared" si="83"/>
        <v>#N/A</v>
      </c>
      <c r="M267" t="e">
        <f t="shared" si="84"/>
        <v>#N/A</v>
      </c>
      <c r="N267" s="9" t="e">
        <f>IF(OR($B267&gt;Assump!$E$9,$B267&lt;HVDC_Received_Max),NA(),NI_demand*2)</f>
        <v>#N/A</v>
      </c>
      <c r="O267" t="e">
        <f t="shared" si="87"/>
        <v>#N/A</v>
      </c>
      <c r="R267">
        <f t="shared" si="88"/>
        <v>1315</v>
      </c>
      <c r="S267" s="3" t="e">
        <f t="shared" si="89"/>
        <v>#N/A</v>
      </c>
      <c r="T267" t="e">
        <f t="shared" si="90"/>
        <v>#N/A</v>
      </c>
      <c r="U267" t="e">
        <f t="shared" si="91"/>
        <v>#N/A</v>
      </c>
      <c r="V267" t="e">
        <f t="shared" si="92"/>
        <v>#N/A</v>
      </c>
      <c r="W267" t="e">
        <f t="shared" si="93"/>
        <v>#N/A</v>
      </c>
      <c r="X267" t="e">
        <f t="shared" si="94"/>
        <v>#N/A</v>
      </c>
    </row>
    <row r="268" spans="1:24" x14ac:dyDescent="0.25">
      <c r="A268" s="7">
        <f>B268/(1-Assump!$D$4)</f>
        <v>1400</v>
      </c>
      <c r="B268" s="1">
        <v>1320</v>
      </c>
      <c r="C268" s="9">
        <f t="shared" si="77"/>
        <v>-218.57142857142867</v>
      </c>
      <c r="D268" t="e">
        <f t="shared" si="78"/>
        <v>#N/A</v>
      </c>
      <c r="E268" t="e">
        <f t="shared" si="79"/>
        <v>#N/A</v>
      </c>
      <c r="F268" t="e">
        <f t="shared" si="80"/>
        <v>#N/A</v>
      </c>
      <c r="G268" t="e">
        <f t="shared" si="81"/>
        <v>#N/A</v>
      </c>
      <c r="H268" t="e">
        <f t="shared" si="82"/>
        <v>#N/A</v>
      </c>
      <c r="I268" t="e">
        <f t="shared" si="85"/>
        <v>#N/A</v>
      </c>
      <c r="J268" t="e">
        <f t="shared" si="86"/>
        <v>#N/A</v>
      </c>
      <c r="L268" t="e">
        <f t="shared" si="83"/>
        <v>#N/A</v>
      </c>
      <c r="M268" t="e">
        <f t="shared" si="84"/>
        <v>#N/A</v>
      </c>
      <c r="N268" s="9" t="e">
        <f>IF(OR($B268&gt;Assump!$E$9,$B268&lt;HVDC_Received_Max),NA(),NI_demand*2)</f>
        <v>#N/A</v>
      </c>
      <c r="O268" t="e">
        <f t="shared" si="87"/>
        <v>#N/A</v>
      </c>
      <c r="R268">
        <f t="shared" si="88"/>
        <v>1320</v>
      </c>
      <c r="S268" s="3" t="e">
        <f t="shared" si="89"/>
        <v>#N/A</v>
      </c>
      <c r="T268" t="e">
        <f t="shared" si="90"/>
        <v>#N/A</v>
      </c>
      <c r="U268" t="e">
        <f t="shared" si="91"/>
        <v>#N/A</v>
      </c>
      <c r="V268" t="e">
        <f t="shared" si="92"/>
        <v>#N/A</v>
      </c>
      <c r="W268" t="e">
        <f t="shared" si="93"/>
        <v>#N/A</v>
      </c>
      <c r="X268" t="e">
        <f t="shared" si="94"/>
        <v>#N/A</v>
      </c>
    </row>
    <row r="269" spans="1:24" x14ac:dyDescent="0.25">
      <c r="A269" s="7">
        <f>B269/(1-Assump!$D$4)</f>
        <v>1405.3030303030303</v>
      </c>
      <c r="B269" s="1">
        <v>1325</v>
      </c>
      <c r="C269" s="9">
        <f t="shared" si="77"/>
        <v>-223.57142857142867</v>
      </c>
      <c r="D269" t="e">
        <f t="shared" si="78"/>
        <v>#N/A</v>
      </c>
      <c r="E269" t="e">
        <f t="shared" si="79"/>
        <v>#N/A</v>
      </c>
      <c r="F269" t="e">
        <f t="shared" si="80"/>
        <v>#N/A</v>
      </c>
      <c r="G269" t="e">
        <f t="shared" si="81"/>
        <v>#N/A</v>
      </c>
      <c r="H269" t="e">
        <f t="shared" si="82"/>
        <v>#N/A</v>
      </c>
      <c r="I269" t="e">
        <f t="shared" si="85"/>
        <v>#N/A</v>
      </c>
      <c r="J269" t="e">
        <f t="shared" si="86"/>
        <v>#N/A</v>
      </c>
      <c r="L269" t="e">
        <f t="shared" si="83"/>
        <v>#N/A</v>
      </c>
      <c r="M269" t="e">
        <f t="shared" si="84"/>
        <v>#N/A</v>
      </c>
      <c r="N269" s="9" t="e">
        <f>IF(OR($B269&gt;Assump!$E$9,$B269&lt;HVDC_Received_Max),NA(),NI_demand*2)</f>
        <v>#N/A</v>
      </c>
      <c r="O269" t="e">
        <f t="shared" si="87"/>
        <v>#N/A</v>
      </c>
      <c r="R269">
        <f t="shared" si="88"/>
        <v>1325</v>
      </c>
      <c r="S269" s="3" t="e">
        <f t="shared" si="89"/>
        <v>#N/A</v>
      </c>
      <c r="T269" t="e">
        <f t="shared" si="90"/>
        <v>#N/A</v>
      </c>
      <c r="U269" t="e">
        <f t="shared" si="91"/>
        <v>#N/A</v>
      </c>
      <c r="V269" t="e">
        <f t="shared" si="92"/>
        <v>#N/A</v>
      </c>
      <c r="W269" t="e">
        <f t="shared" si="93"/>
        <v>#N/A</v>
      </c>
      <c r="X269" t="e">
        <f t="shared" si="94"/>
        <v>#N/A</v>
      </c>
    </row>
    <row r="270" spans="1:24" x14ac:dyDescent="0.25">
      <c r="A270" s="7">
        <f>B270/(1-Assump!$D$4)</f>
        <v>1410.6060606060607</v>
      </c>
      <c r="B270" s="1">
        <v>1330</v>
      </c>
      <c r="C270" s="9">
        <f t="shared" si="77"/>
        <v>-228.57142857142867</v>
      </c>
      <c r="D270" t="e">
        <f t="shared" si="78"/>
        <v>#N/A</v>
      </c>
      <c r="E270" t="e">
        <f t="shared" si="79"/>
        <v>#N/A</v>
      </c>
      <c r="F270" t="e">
        <f t="shared" si="80"/>
        <v>#N/A</v>
      </c>
      <c r="G270" t="e">
        <f t="shared" si="81"/>
        <v>#N/A</v>
      </c>
      <c r="H270" t="e">
        <f t="shared" si="82"/>
        <v>#N/A</v>
      </c>
      <c r="I270" t="e">
        <f t="shared" si="85"/>
        <v>#N/A</v>
      </c>
      <c r="J270" t="e">
        <f t="shared" si="86"/>
        <v>#N/A</v>
      </c>
      <c r="L270" t="e">
        <f t="shared" si="83"/>
        <v>#N/A</v>
      </c>
      <c r="M270" t="e">
        <f t="shared" si="84"/>
        <v>#N/A</v>
      </c>
      <c r="N270" s="9" t="e">
        <f>IF(OR($B270&gt;Assump!$E$9,$B270&lt;HVDC_Received_Max),NA(),NI_demand*2)</f>
        <v>#N/A</v>
      </c>
      <c r="O270" t="e">
        <f t="shared" si="87"/>
        <v>#N/A</v>
      </c>
      <c r="R270">
        <f t="shared" si="88"/>
        <v>1330</v>
      </c>
      <c r="S270" s="3" t="e">
        <f t="shared" si="89"/>
        <v>#N/A</v>
      </c>
      <c r="T270" t="e">
        <f t="shared" si="90"/>
        <v>#N/A</v>
      </c>
      <c r="U270" t="e">
        <f t="shared" si="91"/>
        <v>#N/A</v>
      </c>
      <c r="V270" t="e">
        <f t="shared" si="92"/>
        <v>#N/A</v>
      </c>
      <c r="W270" t="e">
        <f t="shared" si="93"/>
        <v>#N/A</v>
      </c>
      <c r="X270" t="e">
        <f t="shared" si="94"/>
        <v>#N/A</v>
      </c>
    </row>
    <row r="271" spans="1:24" x14ac:dyDescent="0.25">
      <c r="A271" s="7">
        <f>B271/(1-Assump!$D$4)</f>
        <v>1415.909090909091</v>
      </c>
      <c r="B271" s="1">
        <v>1335</v>
      </c>
      <c r="C271" s="9">
        <f t="shared" si="77"/>
        <v>-233.57142857142867</v>
      </c>
      <c r="D271" t="e">
        <f t="shared" si="78"/>
        <v>#N/A</v>
      </c>
      <c r="E271" t="e">
        <f t="shared" si="79"/>
        <v>#N/A</v>
      </c>
      <c r="F271" t="e">
        <f t="shared" si="80"/>
        <v>#N/A</v>
      </c>
      <c r="G271" t="e">
        <f t="shared" si="81"/>
        <v>#N/A</v>
      </c>
      <c r="H271" t="e">
        <f t="shared" si="82"/>
        <v>#N/A</v>
      </c>
      <c r="I271" t="e">
        <f t="shared" si="85"/>
        <v>#N/A</v>
      </c>
      <c r="J271" t="e">
        <f t="shared" si="86"/>
        <v>#N/A</v>
      </c>
      <c r="L271" t="e">
        <f t="shared" si="83"/>
        <v>#N/A</v>
      </c>
      <c r="M271" t="e">
        <f t="shared" si="84"/>
        <v>#N/A</v>
      </c>
      <c r="N271" s="9" t="e">
        <f>IF(OR($B271&gt;Assump!$E$9,$B271&lt;HVDC_Received_Max),NA(),NI_demand*2)</f>
        <v>#N/A</v>
      </c>
      <c r="O271" t="e">
        <f t="shared" si="87"/>
        <v>#N/A</v>
      </c>
      <c r="R271">
        <f t="shared" si="88"/>
        <v>1335</v>
      </c>
      <c r="S271" s="3" t="e">
        <f t="shared" si="89"/>
        <v>#N/A</v>
      </c>
      <c r="T271" t="e">
        <f t="shared" si="90"/>
        <v>#N/A</v>
      </c>
      <c r="U271" t="e">
        <f t="shared" si="91"/>
        <v>#N/A</v>
      </c>
      <c r="V271" t="e">
        <f t="shared" si="92"/>
        <v>#N/A</v>
      </c>
      <c r="W271" t="e">
        <f t="shared" si="93"/>
        <v>#N/A</v>
      </c>
      <c r="X271" t="e">
        <f t="shared" si="94"/>
        <v>#N/A</v>
      </c>
    </row>
    <row r="272" spans="1:24" x14ac:dyDescent="0.25">
      <c r="A272" s="7">
        <f>B272/(1-Assump!$D$4)</f>
        <v>1421.2121212121212</v>
      </c>
      <c r="B272" s="1">
        <v>1340</v>
      </c>
      <c r="C272" s="9">
        <f t="shared" si="77"/>
        <v>-238.57142857142867</v>
      </c>
      <c r="D272" t="e">
        <f t="shared" si="78"/>
        <v>#N/A</v>
      </c>
      <c r="E272" t="e">
        <f t="shared" si="79"/>
        <v>#N/A</v>
      </c>
      <c r="F272" t="e">
        <f t="shared" si="80"/>
        <v>#N/A</v>
      </c>
      <c r="G272" t="e">
        <f t="shared" si="81"/>
        <v>#N/A</v>
      </c>
      <c r="H272" t="e">
        <f t="shared" si="82"/>
        <v>#N/A</v>
      </c>
      <c r="I272" t="e">
        <f t="shared" si="85"/>
        <v>#N/A</v>
      </c>
      <c r="J272" t="e">
        <f t="shared" si="86"/>
        <v>#N/A</v>
      </c>
      <c r="L272" t="e">
        <f t="shared" si="83"/>
        <v>#N/A</v>
      </c>
      <c r="M272" t="e">
        <f t="shared" si="84"/>
        <v>#N/A</v>
      </c>
      <c r="N272" s="9" t="e">
        <f>IF(OR($B272&gt;Assump!$E$9,$B272&lt;HVDC_Received_Max),NA(),NI_demand*2)</f>
        <v>#N/A</v>
      </c>
      <c r="O272" t="e">
        <f t="shared" si="87"/>
        <v>#N/A</v>
      </c>
      <c r="R272">
        <f t="shared" si="88"/>
        <v>1340</v>
      </c>
      <c r="S272" s="3" t="e">
        <f t="shared" si="89"/>
        <v>#N/A</v>
      </c>
      <c r="T272" t="e">
        <f t="shared" si="90"/>
        <v>#N/A</v>
      </c>
      <c r="U272" t="e">
        <f t="shared" si="91"/>
        <v>#N/A</v>
      </c>
      <c r="V272" t="e">
        <f t="shared" si="92"/>
        <v>#N/A</v>
      </c>
      <c r="W272" t="e">
        <f t="shared" si="93"/>
        <v>#N/A</v>
      </c>
      <c r="X272" t="e">
        <f t="shared" si="94"/>
        <v>#N/A</v>
      </c>
    </row>
    <row r="273" spans="1:24" x14ac:dyDescent="0.25">
      <c r="A273" s="7">
        <f>B273/(1-Assump!$D$4)</f>
        <v>1426.5151515151515</v>
      </c>
      <c r="B273" s="1">
        <v>1345</v>
      </c>
      <c r="C273" s="9">
        <f t="shared" si="77"/>
        <v>-243.57142857142867</v>
      </c>
      <c r="D273" t="e">
        <f t="shared" si="78"/>
        <v>#N/A</v>
      </c>
      <c r="E273" t="e">
        <f t="shared" si="79"/>
        <v>#N/A</v>
      </c>
      <c r="F273" t="e">
        <f t="shared" si="80"/>
        <v>#N/A</v>
      </c>
      <c r="G273" t="e">
        <f t="shared" si="81"/>
        <v>#N/A</v>
      </c>
      <c r="H273" t="e">
        <f t="shared" si="82"/>
        <v>#N/A</v>
      </c>
      <c r="I273" t="e">
        <f t="shared" si="85"/>
        <v>#N/A</v>
      </c>
      <c r="J273" t="e">
        <f t="shared" si="86"/>
        <v>#N/A</v>
      </c>
      <c r="L273" t="e">
        <f t="shared" si="83"/>
        <v>#N/A</v>
      </c>
      <c r="M273" t="e">
        <f t="shared" si="84"/>
        <v>#N/A</v>
      </c>
      <c r="N273" s="9" t="e">
        <f>IF(OR($B273&gt;Assump!$E$9,$B273&lt;HVDC_Received_Max),NA(),NI_demand*2)</f>
        <v>#N/A</v>
      </c>
      <c r="O273" t="e">
        <f t="shared" si="87"/>
        <v>#N/A</v>
      </c>
      <c r="R273">
        <f t="shared" si="88"/>
        <v>1345</v>
      </c>
      <c r="S273" s="3" t="e">
        <f t="shared" si="89"/>
        <v>#N/A</v>
      </c>
      <c r="T273" t="e">
        <f t="shared" si="90"/>
        <v>#N/A</v>
      </c>
      <c r="U273" t="e">
        <f t="shared" si="91"/>
        <v>#N/A</v>
      </c>
      <c r="V273" t="e">
        <f t="shared" si="92"/>
        <v>#N/A</v>
      </c>
      <c r="W273" t="e">
        <f t="shared" si="93"/>
        <v>#N/A</v>
      </c>
      <c r="X273" t="e">
        <f t="shared" si="94"/>
        <v>#N/A</v>
      </c>
    </row>
    <row r="274" spans="1:24" x14ac:dyDescent="0.25">
      <c r="A274" s="7">
        <f>B274/(1-Assump!$D$4)</f>
        <v>1431.8181818181818</v>
      </c>
      <c r="B274" s="1">
        <v>1350</v>
      </c>
      <c r="C274" s="9">
        <f t="shared" si="77"/>
        <v>-248.57142857142867</v>
      </c>
      <c r="D274" t="e">
        <f t="shared" si="78"/>
        <v>#N/A</v>
      </c>
      <c r="E274" t="e">
        <f t="shared" si="79"/>
        <v>#N/A</v>
      </c>
      <c r="F274" t="e">
        <f t="shared" si="80"/>
        <v>#N/A</v>
      </c>
      <c r="G274" t="e">
        <f t="shared" si="81"/>
        <v>#N/A</v>
      </c>
      <c r="H274" t="e">
        <f t="shared" si="82"/>
        <v>#N/A</v>
      </c>
      <c r="I274" t="e">
        <f t="shared" si="85"/>
        <v>#N/A</v>
      </c>
      <c r="J274" t="e">
        <f t="shared" si="86"/>
        <v>#N/A</v>
      </c>
      <c r="L274" t="e">
        <f t="shared" si="83"/>
        <v>#N/A</v>
      </c>
      <c r="M274" t="e">
        <f t="shared" si="84"/>
        <v>#N/A</v>
      </c>
      <c r="N274" s="9" t="e">
        <f>IF(OR($B274&gt;Assump!$E$9,$B274&lt;HVDC_Received_Max),NA(),NI_demand*2)</f>
        <v>#N/A</v>
      </c>
      <c r="O274" t="e">
        <f t="shared" si="87"/>
        <v>#N/A</v>
      </c>
      <c r="R274">
        <f t="shared" si="88"/>
        <v>1350</v>
      </c>
      <c r="S274" s="3" t="e">
        <f t="shared" si="89"/>
        <v>#N/A</v>
      </c>
      <c r="T274" t="e">
        <f t="shared" si="90"/>
        <v>#N/A</v>
      </c>
      <c r="U274" t="e">
        <f t="shared" si="91"/>
        <v>#N/A</v>
      </c>
      <c r="V274" t="e">
        <f t="shared" si="92"/>
        <v>#N/A</v>
      </c>
      <c r="W274" t="e">
        <f t="shared" si="93"/>
        <v>#N/A</v>
      </c>
      <c r="X274" t="e">
        <f t="shared" si="94"/>
        <v>#N/A</v>
      </c>
    </row>
    <row r="275" spans="1:24" x14ac:dyDescent="0.25">
      <c r="A275" s="7">
        <f>B275/(1-Assump!$D$4)</f>
        <v>1437.1212121212122</v>
      </c>
      <c r="B275" s="1">
        <v>1355</v>
      </c>
      <c r="C275" s="9">
        <f t="shared" si="77"/>
        <v>-253.57142857142867</v>
      </c>
      <c r="D275" t="e">
        <f t="shared" si="78"/>
        <v>#N/A</v>
      </c>
      <c r="E275" t="e">
        <f t="shared" si="79"/>
        <v>#N/A</v>
      </c>
      <c r="F275" t="e">
        <f t="shared" si="80"/>
        <v>#N/A</v>
      </c>
      <c r="G275" t="e">
        <f t="shared" si="81"/>
        <v>#N/A</v>
      </c>
      <c r="H275" t="e">
        <f t="shared" si="82"/>
        <v>#N/A</v>
      </c>
      <c r="I275" t="e">
        <f t="shared" si="85"/>
        <v>#N/A</v>
      </c>
      <c r="J275" t="e">
        <f t="shared" si="86"/>
        <v>#N/A</v>
      </c>
      <c r="L275" t="e">
        <f t="shared" si="83"/>
        <v>#N/A</v>
      </c>
      <c r="M275" t="e">
        <f t="shared" si="84"/>
        <v>#N/A</v>
      </c>
      <c r="N275" s="9" t="e">
        <f>IF(OR($B275&gt;Assump!$E$9,$B275&lt;HVDC_Received_Max),NA(),NI_demand*2)</f>
        <v>#N/A</v>
      </c>
      <c r="O275" t="e">
        <f t="shared" si="87"/>
        <v>#N/A</v>
      </c>
      <c r="R275">
        <f t="shared" si="88"/>
        <v>1355</v>
      </c>
      <c r="S275" s="3" t="e">
        <f t="shared" si="89"/>
        <v>#N/A</v>
      </c>
      <c r="T275" t="e">
        <f t="shared" si="90"/>
        <v>#N/A</v>
      </c>
      <c r="U275" t="e">
        <f t="shared" si="91"/>
        <v>#N/A</v>
      </c>
      <c r="V275" t="e">
        <f t="shared" si="92"/>
        <v>#N/A</v>
      </c>
      <c r="W275" t="e">
        <f t="shared" si="93"/>
        <v>#N/A</v>
      </c>
      <c r="X275" t="e">
        <f t="shared" si="94"/>
        <v>#N/A</v>
      </c>
    </row>
    <row r="276" spans="1:24" x14ac:dyDescent="0.25">
      <c r="A276" s="7">
        <f>B276/(1-Assump!$D$4)</f>
        <v>1442.4242424242425</v>
      </c>
      <c r="B276" s="1">
        <v>1360</v>
      </c>
      <c r="C276" s="9">
        <f t="shared" si="77"/>
        <v>-258.57142857142867</v>
      </c>
      <c r="D276" t="e">
        <f t="shared" si="78"/>
        <v>#N/A</v>
      </c>
      <c r="E276" t="e">
        <f t="shared" si="79"/>
        <v>#N/A</v>
      </c>
      <c r="F276" t="e">
        <f t="shared" si="80"/>
        <v>#N/A</v>
      </c>
      <c r="G276" t="e">
        <f t="shared" si="81"/>
        <v>#N/A</v>
      </c>
      <c r="H276" t="e">
        <f t="shared" si="82"/>
        <v>#N/A</v>
      </c>
      <c r="I276" t="e">
        <f t="shared" si="85"/>
        <v>#N/A</v>
      </c>
      <c r="J276" t="e">
        <f t="shared" si="86"/>
        <v>#N/A</v>
      </c>
      <c r="L276" t="e">
        <f t="shared" si="83"/>
        <v>#N/A</v>
      </c>
      <c r="M276" t="e">
        <f t="shared" si="84"/>
        <v>#N/A</v>
      </c>
      <c r="N276" s="9" t="e">
        <f>IF(OR($B276&gt;Assump!$E$9,$B276&lt;HVDC_Received_Max),NA(),NI_demand*2)</f>
        <v>#N/A</v>
      </c>
      <c r="O276" t="e">
        <f t="shared" si="87"/>
        <v>#N/A</v>
      </c>
      <c r="R276">
        <f t="shared" si="88"/>
        <v>1360</v>
      </c>
      <c r="S276" s="3" t="e">
        <f t="shared" si="89"/>
        <v>#N/A</v>
      </c>
      <c r="T276" t="e">
        <f t="shared" si="90"/>
        <v>#N/A</v>
      </c>
      <c r="U276" t="e">
        <f t="shared" si="91"/>
        <v>#N/A</v>
      </c>
      <c r="V276" t="e">
        <f t="shared" si="92"/>
        <v>#N/A</v>
      </c>
      <c r="W276" t="e">
        <f t="shared" si="93"/>
        <v>#N/A</v>
      </c>
      <c r="X276" t="e">
        <f t="shared" si="94"/>
        <v>#N/A</v>
      </c>
    </row>
    <row r="277" spans="1:24" x14ac:dyDescent="0.25">
      <c r="A277" s="7">
        <f>B277/(1-Assump!$D$4)</f>
        <v>1447.7272727272727</v>
      </c>
      <c r="B277" s="1">
        <v>1365</v>
      </c>
      <c r="C277" s="9">
        <f t="shared" si="77"/>
        <v>-263.57142857142867</v>
      </c>
      <c r="D277" t="e">
        <f t="shared" si="78"/>
        <v>#N/A</v>
      </c>
      <c r="E277" t="e">
        <f t="shared" si="79"/>
        <v>#N/A</v>
      </c>
      <c r="F277" t="e">
        <f t="shared" si="80"/>
        <v>#N/A</v>
      </c>
      <c r="G277" t="e">
        <f t="shared" si="81"/>
        <v>#N/A</v>
      </c>
      <c r="H277" t="e">
        <f t="shared" si="82"/>
        <v>#N/A</v>
      </c>
      <c r="I277" t="e">
        <f t="shared" si="85"/>
        <v>#N/A</v>
      </c>
      <c r="J277" t="e">
        <f t="shared" si="86"/>
        <v>#N/A</v>
      </c>
      <c r="L277" t="e">
        <f t="shared" si="83"/>
        <v>#N/A</v>
      </c>
      <c r="M277" t="e">
        <f t="shared" si="84"/>
        <v>#N/A</v>
      </c>
      <c r="N277" s="9" t="e">
        <f>IF(OR($B277&gt;Assump!$E$9,$B277&lt;HVDC_Received_Max),NA(),NI_demand*2)</f>
        <v>#N/A</v>
      </c>
      <c r="O277" t="e">
        <f t="shared" si="87"/>
        <v>#N/A</v>
      </c>
      <c r="R277">
        <f t="shared" si="88"/>
        <v>1365</v>
      </c>
      <c r="S277" s="3" t="e">
        <f t="shared" si="89"/>
        <v>#N/A</v>
      </c>
      <c r="T277" t="e">
        <f t="shared" si="90"/>
        <v>#N/A</v>
      </c>
      <c r="U277" t="e">
        <f t="shared" si="91"/>
        <v>#N/A</v>
      </c>
      <c r="V277" t="e">
        <f t="shared" si="92"/>
        <v>#N/A</v>
      </c>
      <c r="W277" t="e">
        <f t="shared" si="93"/>
        <v>#N/A</v>
      </c>
      <c r="X277" t="e">
        <f t="shared" si="94"/>
        <v>#N/A</v>
      </c>
    </row>
    <row r="278" spans="1:24" x14ac:dyDescent="0.25">
      <c r="A278" s="7">
        <f>B278/(1-Assump!$D$4)</f>
        <v>1453.030303030303</v>
      </c>
      <c r="B278" s="1">
        <v>1370</v>
      </c>
      <c r="C278" s="9">
        <f t="shared" si="77"/>
        <v>-268.57142857142867</v>
      </c>
      <c r="D278" t="e">
        <f t="shared" si="78"/>
        <v>#N/A</v>
      </c>
      <c r="E278" t="e">
        <f t="shared" si="79"/>
        <v>#N/A</v>
      </c>
      <c r="F278" t="e">
        <f t="shared" si="80"/>
        <v>#N/A</v>
      </c>
      <c r="G278" t="e">
        <f t="shared" si="81"/>
        <v>#N/A</v>
      </c>
      <c r="H278" t="e">
        <f t="shared" si="82"/>
        <v>#N/A</v>
      </c>
      <c r="I278" t="e">
        <f t="shared" si="85"/>
        <v>#N/A</v>
      </c>
      <c r="J278" t="e">
        <f t="shared" si="86"/>
        <v>#N/A</v>
      </c>
      <c r="L278" t="e">
        <f t="shared" si="83"/>
        <v>#N/A</v>
      </c>
      <c r="M278" t="e">
        <f t="shared" si="84"/>
        <v>#N/A</v>
      </c>
      <c r="N278" s="9" t="e">
        <f>IF(OR($B278&gt;Assump!$E$9,$B278&lt;HVDC_Received_Max),NA(),NI_demand*2)</f>
        <v>#N/A</v>
      </c>
      <c r="O278" t="e">
        <f t="shared" si="87"/>
        <v>#N/A</v>
      </c>
      <c r="R278">
        <f t="shared" si="88"/>
        <v>1370</v>
      </c>
      <c r="S278" s="3" t="e">
        <f t="shared" si="89"/>
        <v>#N/A</v>
      </c>
      <c r="T278" t="e">
        <f t="shared" si="90"/>
        <v>#N/A</v>
      </c>
      <c r="U278" t="e">
        <f t="shared" si="91"/>
        <v>#N/A</v>
      </c>
      <c r="V278" t="e">
        <f t="shared" si="92"/>
        <v>#N/A</v>
      </c>
      <c r="W278" t="e">
        <f t="shared" si="93"/>
        <v>#N/A</v>
      </c>
      <c r="X278" t="e">
        <f t="shared" si="94"/>
        <v>#N/A</v>
      </c>
    </row>
    <row r="279" spans="1:24" x14ac:dyDescent="0.25">
      <c r="A279" s="7">
        <f>B279/(1-Assump!$D$4)</f>
        <v>1458.3333333333333</v>
      </c>
      <c r="B279" s="1">
        <v>1375</v>
      </c>
      <c r="C279" s="9">
        <f t="shared" si="77"/>
        <v>-273.57142857142867</v>
      </c>
      <c r="D279" t="e">
        <f t="shared" si="78"/>
        <v>#N/A</v>
      </c>
      <c r="E279" t="e">
        <f t="shared" si="79"/>
        <v>#N/A</v>
      </c>
      <c r="F279" t="e">
        <f t="shared" si="80"/>
        <v>#N/A</v>
      </c>
      <c r="G279" t="e">
        <f t="shared" si="81"/>
        <v>#N/A</v>
      </c>
      <c r="H279" t="e">
        <f t="shared" si="82"/>
        <v>#N/A</v>
      </c>
      <c r="I279" t="e">
        <f t="shared" si="85"/>
        <v>#N/A</v>
      </c>
      <c r="J279" t="e">
        <f t="shared" si="86"/>
        <v>#N/A</v>
      </c>
      <c r="L279" t="e">
        <f t="shared" si="83"/>
        <v>#N/A</v>
      </c>
      <c r="M279" t="e">
        <f t="shared" si="84"/>
        <v>#N/A</v>
      </c>
      <c r="N279" s="9" t="e">
        <f>IF(OR($B279&gt;Assump!$E$9,$B279&lt;HVDC_Received_Max),NA(),NI_demand*2)</f>
        <v>#N/A</v>
      </c>
      <c r="O279" t="e">
        <f t="shared" si="87"/>
        <v>#N/A</v>
      </c>
      <c r="R279">
        <f t="shared" si="88"/>
        <v>1375</v>
      </c>
      <c r="S279" s="3" t="e">
        <f t="shared" si="89"/>
        <v>#N/A</v>
      </c>
      <c r="T279" t="e">
        <f t="shared" si="90"/>
        <v>#N/A</v>
      </c>
      <c r="U279" t="e">
        <f t="shared" si="91"/>
        <v>#N/A</v>
      </c>
      <c r="V279" t="e">
        <f t="shared" si="92"/>
        <v>#N/A</v>
      </c>
      <c r="W279" t="e">
        <f t="shared" si="93"/>
        <v>#N/A</v>
      </c>
      <c r="X279" t="e">
        <f t="shared" si="94"/>
        <v>#N/A</v>
      </c>
    </row>
    <row r="280" spans="1:24" x14ac:dyDescent="0.25">
      <c r="A280" s="7">
        <f>B280/(1-Assump!$D$4)</f>
        <v>1463.6363636363637</v>
      </c>
      <c r="B280" s="1">
        <v>1380</v>
      </c>
      <c r="C280" s="9">
        <f t="shared" si="77"/>
        <v>-278.57142857142867</v>
      </c>
      <c r="D280" t="e">
        <f t="shared" si="78"/>
        <v>#N/A</v>
      </c>
      <c r="E280" t="e">
        <f t="shared" si="79"/>
        <v>#N/A</v>
      </c>
      <c r="F280" t="e">
        <f t="shared" si="80"/>
        <v>#N/A</v>
      </c>
      <c r="G280" t="e">
        <f t="shared" si="81"/>
        <v>#N/A</v>
      </c>
      <c r="H280" t="e">
        <f t="shared" si="82"/>
        <v>#N/A</v>
      </c>
      <c r="I280" t="e">
        <f t="shared" si="85"/>
        <v>#N/A</v>
      </c>
      <c r="J280" t="e">
        <f t="shared" si="86"/>
        <v>#N/A</v>
      </c>
      <c r="L280" t="e">
        <f t="shared" si="83"/>
        <v>#N/A</v>
      </c>
      <c r="M280" t="e">
        <f t="shared" si="84"/>
        <v>#N/A</v>
      </c>
      <c r="N280" s="9" t="e">
        <f>IF(OR($B280&gt;Assump!$E$9,$B280&lt;HVDC_Received_Max),NA(),NI_demand*2)</f>
        <v>#N/A</v>
      </c>
      <c r="O280" t="e">
        <f t="shared" si="87"/>
        <v>#N/A</v>
      </c>
      <c r="R280">
        <f t="shared" si="88"/>
        <v>1380</v>
      </c>
      <c r="S280" s="3" t="e">
        <f t="shared" si="89"/>
        <v>#N/A</v>
      </c>
      <c r="T280" t="e">
        <f t="shared" si="90"/>
        <v>#N/A</v>
      </c>
      <c r="U280" t="e">
        <f t="shared" si="91"/>
        <v>#N/A</v>
      </c>
      <c r="V280" t="e">
        <f t="shared" si="92"/>
        <v>#N/A</v>
      </c>
      <c r="W280" t="e">
        <f t="shared" si="93"/>
        <v>#N/A</v>
      </c>
      <c r="X280" t="e">
        <f t="shared" si="94"/>
        <v>#N/A</v>
      </c>
    </row>
    <row r="281" spans="1:24" x14ac:dyDescent="0.25">
      <c r="A281" s="7">
        <f>B281/(1-Assump!$D$4)</f>
        <v>1468.939393939394</v>
      </c>
      <c r="B281" s="1">
        <v>1385</v>
      </c>
      <c r="C281" s="9">
        <f t="shared" si="77"/>
        <v>-283.57142857142867</v>
      </c>
      <c r="D281" t="e">
        <f t="shared" si="78"/>
        <v>#N/A</v>
      </c>
      <c r="E281" t="e">
        <f t="shared" si="79"/>
        <v>#N/A</v>
      </c>
      <c r="F281" t="e">
        <f t="shared" si="80"/>
        <v>#N/A</v>
      </c>
      <c r="G281" t="e">
        <f t="shared" si="81"/>
        <v>#N/A</v>
      </c>
      <c r="H281" t="e">
        <f t="shared" si="82"/>
        <v>#N/A</v>
      </c>
      <c r="I281" t="e">
        <f t="shared" si="85"/>
        <v>#N/A</v>
      </c>
      <c r="J281" t="e">
        <f t="shared" si="86"/>
        <v>#N/A</v>
      </c>
      <c r="L281" t="e">
        <f t="shared" si="83"/>
        <v>#N/A</v>
      </c>
      <c r="M281" t="e">
        <f t="shared" si="84"/>
        <v>#N/A</v>
      </c>
      <c r="N281" s="9" t="e">
        <f>IF(OR($B281&gt;Assump!$E$9,$B281&lt;HVDC_Received_Max),NA(),NI_demand*2)</f>
        <v>#N/A</v>
      </c>
      <c r="O281" t="e">
        <f t="shared" si="87"/>
        <v>#N/A</v>
      </c>
      <c r="R281">
        <f t="shared" si="88"/>
        <v>1385</v>
      </c>
      <c r="S281" s="3" t="e">
        <f t="shared" si="89"/>
        <v>#N/A</v>
      </c>
      <c r="T281" t="e">
        <f t="shared" si="90"/>
        <v>#N/A</v>
      </c>
      <c r="U281" t="e">
        <f t="shared" si="91"/>
        <v>#N/A</v>
      </c>
      <c r="V281" t="e">
        <f t="shared" si="92"/>
        <v>#N/A</v>
      </c>
      <c r="W281" t="e">
        <f t="shared" si="93"/>
        <v>#N/A</v>
      </c>
      <c r="X281" t="e">
        <f t="shared" si="94"/>
        <v>#N/A</v>
      </c>
    </row>
    <row r="282" spans="1:24" x14ac:dyDescent="0.25">
      <c r="A282" s="7">
        <f>B282/(1-Assump!$D$4)</f>
        <v>1474.2424242424242</v>
      </c>
      <c r="B282" s="1">
        <v>1390</v>
      </c>
      <c r="C282" s="9">
        <f t="shared" si="77"/>
        <v>-288.57142857142867</v>
      </c>
      <c r="D282" t="e">
        <f t="shared" si="78"/>
        <v>#N/A</v>
      </c>
      <c r="E282" t="e">
        <f t="shared" si="79"/>
        <v>#N/A</v>
      </c>
      <c r="F282" t="e">
        <f t="shared" si="80"/>
        <v>#N/A</v>
      </c>
      <c r="G282" t="e">
        <f t="shared" si="81"/>
        <v>#N/A</v>
      </c>
      <c r="H282" t="e">
        <f t="shared" si="82"/>
        <v>#N/A</v>
      </c>
      <c r="I282" t="e">
        <f t="shared" si="85"/>
        <v>#N/A</v>
      </c>
      <c r="J282" t="e">
        <f t="shared" si="86"/>
        <v>#N/A</v>
      </c>
      <c r="L282" t="e">
        <f t="shared" si="83"/>
        <v>#N/A</v>
      </c>
      <c r="M282" t="e">
        <f t="shared" si="84"/>
        <v>#N/A</v>
      </c>
      <c r="N282" s="9" t="e">
        <f>IF(OR($B282&gt;Assump!$E$9,$B282&lt;HVDC_Received_Max),NA(),NI_demand*2)</f>
        <v>#N/A</v>
      </c>
      <c r="O282" t="e">
        <f t="shared" si="87"/>
        <v>#N/A</v>
      </c>
      <c r="R282">
        <f t="shared" si="88"/>
        <v>1390</v>
      </c>
      <c r="S282" s="3" t="e">
        <f t="shared" si="89"/>
        <v>#N/A</v>
      </c>
      <c r="T282" t="e">
        <f t="shared" si="90"/>
        <v>#N/A</v>
      </c>
      <c r="U282" t="e">
        <f t="shared" si="91"/>
        <v>#N/A</v>
      </c>
      <c r="V282" t="e">
        <f t="shared" si="92"/>
        <v>#N/A</v>
      </c>
      <c r="W282" t="e">
        <f t="shared" si="93"/>
        <v>#N/A</v>
      </c>
      <c r="X282" t="e">
        <f t="shared" si="94"/>
        <v>#N/A</v>
      </c>
    </row>
    <row r="283" spans="1:24" x14ac:dyDescent="0.25">
      <c r="A283" s="7">
        <f>B283/(1-Assump!$D$4)</f>
        <v>1479.5454545454545</v>
      </c>
      <c r="B283" s="1">
        <v>1395</v>
      </c>
      <c r="C283" s="9">
        <f t="shared" si="77"/>
        <v>-293.57142857142867</v>
      </c>
      <c r="D283" t="e">
        <f t="shared" si="78"/>
        <v>#N/A</v>
      </c>
      <c r="E283" t="e">
        <f t="shared" si="79"/>
        <v>#N/A</v>
      </c>
      <c r="F283" t="e">
        <f t="shared" si="80"/>
        <v>#N/A</v>
      </c>
      <c r="G283" t="e">
        <f t="shared" si="81"/>
        <v>#N/A</v>
      </c>
      <c r="H283" t="e">
        <f t="shared" si="82"/>
        <v>#N/A</v>
      </c>
      <c r="I283" t="e">
        <f t="shared" si="85"/>
        <v>#N/A</v>
      </c>
      <c r="J283" t="e">
        <f t="shared" si="86"/>
        <v>#N/A</v>
      </c>
      <c r="L283" t="e">
        <f t="shared" si="83"/>
        <v>#N/A</v>
      </c>
      <c r="M283" t="e">
        <f t="shared" si="84"/>
        <v>#N/A</v>
      </c>
      <c r="N283" s="9" t="e">
        <f>IF(OR($B283&gt;Assump!$E$9,$B283&lt;HVDC_Received_Max),NA(),NI_demand*2)</f>
        <v>#N/A</v>
      </c>
      <c r="O283" t="e">
        <f t="shared" si="87"/>
        <v>#N/A</v>
      </c>
      <c r="R283">
        <f t="shared" si="88"/>
        <v>1395</v>
      </c>
      <c r="S283" s="3" t="e">
        <f t="shared" si="89"/>
        <v>#N/A</v>
      </c>
      <c r="T283" t="e">
        <f t="shared" si="90"/>
        <v>#N/A</v>
      </c>
      <c r="U283" t="e">
        <f t="shared" si="91"/>
        <v>#N/A</v>
      </c>
      <c r="V283" t="e">
        <f t="shared" si="92"/>
        <v>#N/A</v>
      </c>
      <c r="W283" t="e">
        <f t="shared" si="93"/>
        <v>#N/A</v>
      </c>
      <c r="X283" t="e">
        <f t="shared" si="94"/>
        <v>#N/A</v>
      </c>
    </row>
    <row r="284" spans="1:24" x14ac:dyDescent="0.25">
      <c r="A284" s="7">
        <f>B284/(1-Assump!$D$4)</f>
        <v>1484.848484848485</v>
      </c>
      <c r="B284" s="1">
        <v>1400</v>
      </c>
      <c r="C284" s="9">
        <f t="shared" si="77"/>
        <v>-298.57142857142867</v>
      </c>
      <c r="D284" t="e">
        <f t="shared" si="78"/>
        <v>#N/A</v>
      </c>
      <c r="E284" t="e">
        <f t="shared" si="79"/>
        <v>#N/A</v>
      </c>
      <c r="F284" t="e">
        <f t="shared" si="80"/>
        <v>#N/A</v>
      </c>
      <c r="G284" t="e">
        <f t="shared" si="81"/>
        <v>#N/A</v>
      </c>
      <c r="H284" t="e">
        <f t="shared" si="82"/>
        <v>#N/A</v>
      </c>
      <c r="I284" t="e">
        <f t="shared" si="85"/>
        <v>#N/A</v>
      </c>
      <c r="J284" t="e">
        <f t="shared" si="86"/>
        <v>#N/A</v>
      </c>
      <c r="L284" t="e">
        <f t="shared" si="83"/>
        <v>#N/A</v>
      </c>
      <c r="M284" t="e">
        <f t="shared" si="84"/>
        <v>#N/A</v>
      </c>
      <c r="N284" s="9" t="e">
        <f>IF(OR($B284&gt;Assump!$E$9,$B284&lt;HVDC_Received_Max),NA(),NI_demand*2)</f>
        <v>#N/A</v>
      </c>
      <c r="O284" t="e">
        <f t="shared" si="87"/>
        <v>#N/A</v>
      </c>
      <c r="R284">
        <f t="shared" si="88"/>
        <v>1400</v>
      </c>
      <c r="S284" s="3" t="e">
        <f t="shared" si="89"/>
        <v>#N/A</v>
      </c>
      <c r="T284" t="e">
        <f t="shared" si="90"/>
        <v>#N/A</v>
      </c>
      <c r="U284" t="e">
        <f t="shared" si="91"/>
        <v>#N/A</v>
      </c>
      <c r="V284" t="e">
        <f t="shared" si="92"/>
        <v>#N/A</v>
      </c>
      <c r="W284" t="e">
        <f t="shared" si="93"/>
        <v>#N/A</v>
      </c>
      <c r="X284" t="e">
        <f t="shared" si="94"/>
        <v>#N/A</v>
      </c>
    </row>
    <row r="287" spans="1:24" x14ac:dyDescent="0.25">
      <c r="A287" s="28" t="s">
        <v>119</v>
      </c>
      <c r="B287" s="28"/>
      <c r="C287" s="28"/>
      <c r="D287" s="28"/>
      <c r="E287" s="28"/>
      <c r="F287" s="28"/>
      <c r="G287" s="28"/>
      <c r="H287" s="28"/>
      <c r="I287" s="28"/>
      <c r="J287" s="28"/>
      <c r="K287" s="28"/>
      <c r="L287" s="28"/>
      <c r="M287" s="28"/>
      <c r="N287" s="28"/>
      <c r="O287" s="28"/>
      <c r="P287" s="28"/>
    </row>
    <row r="289" spans="1:82" x14ac:dyDescent="0.25">
      <c r="AA289" s="4" t="s">
        <v>95</v>
      </c>
      <c r="AB289" t="s">
        <v>104</v>
      </c>
      <c r="AC289" t="s">
        <v>58</v>
      </c>
      <c r="AD289" t="s">
        <v>105</v>
      </c>
      <c r="AE289" t="s">
        <v>106</v>
      </c>
      <c r="AF289" t="s">
        <v>59</v>
      </c>
      <c r="AG289" t="s">
        <v>61</v>
      </c>
      <c r="AH289" t="s">
        <v>62</v>
      </c>
      <c r="AI289" t="s">
        <v>60</v>
      </c>
      <c r="AJ289" t="s">
        <v>45</v>
      </c>
      <c r="AK289" t="s">
        <v>101</v>
      </c>
      <c r="AL289" t="s">
        <v>114</v>
      </c>
      <c r="AM289" t="s">
        <v>103</v>
      </c>
      <c r="AN289" t="s">
        <v>102</v>
      </c>
    </row>
    <row r="290" spans="1:82" x14ac:dyDescent="0.25">
      <c r="AA290" s="4" t="s">
        <v>111</v>
      </c>
      <c r="AB290" t="s">
        <v>113</v>
      </c>
      <c r="AC290" t="s">
        <v>113</v>
      </c>
      <c r="AD290" t="s">
        <v>113</v>
      </c>
      <c r="AE290" t="s">
        <v>113</v>
      </c>
      <c r="AF290" t="s">
        <v>113</v>
      </c>
      <c r="AG290" t="s">
        <v>112</v>
      </c>
      <c r="AH290" t="s">
        <v>112</v>
      </c>
      <c r="AI290" t="s">
        <v>112</v>
      </c>
      <c r="AJ290" t="s">
        <v>50</v>
      </c>
      <c r="AK290" t="s">
        <v>50</v>
      </c>
      <c r="AL290" t="s">
        <v>50</v>
      </c>
      <c r="AM290" t="s">
        <v>50</v>
      </c>
      <c r="AN290" t="s">
        <v>50</v>
      </c>
    </row>
    <row r="291" spans="1:82" x14ac:dyDescent="0.25">
      <c r="AA291" s="4" t="s">
        <v>107</v>
      </c>
      <c r="AB291">
        <v>400</v>
      </c>
      <c r="AC291">
        <v>385</v>
      </c>
      <c r="AD291">
        <v>500</v>
      </c>
      <c r="AE291">
        <v>200</v>
      </c>
      <c r="AF291">
        <v>68</v>
      </c>
      <c r="AG291">
        <v>140</v>
      </c>
      <c r="AH291">
        <v>100</v>
      </c>
      <c r="AI291">
        <v>166</v>
      </c>
      <c r="AJ291">
        <v>840</v>
      </c>
      <c r="AK291">
        <v>432</v>
      </c>
      <c r="AL291">
        <v>540</v>
      </c>
      <c r="AM291">
        <v>160</v>
      </c>
      <c r="AN291">
        <v>264</v>
      </c>
    </row>
    <row r="292" spans="1:82" x14ac:dyDescent="0.25">
      <c r="A292" s="7"/>
      <c r="B292" s="1"/>
      <c r="C292" s="9"/>
      <c r="N292" s="9"/>
      <c r="AA292" s="4" t="s">
        <v>108</v>
      </c>
      <c r="AB292">
        <v>1</v>
      </c>
      <c r="AC292">
        <v>1</v>
      </c>
      <c r="AD292">
        <v>2</v>
      </c>
      <c r="AE292">
        <v>2</v>
      </c>
      <c r="AF292">
        <v>1</v>
      </c>
      <c r="AG292">
        <v>1</v>
      </c>
      <c r="AH292">
        <v>1</v>
      </c>
      <c r="AI292">
        <v>2</v>
      </c>
      <c r="AJ292">
        <v>7</v>
      </c>
      <c r="AK292">
        <v>4</v>
      </c>
      <c r="AL292">
        <v>6</v>
      </c>
      <c r="AM292">
        <v>2</v>
      </c>
      <c r="AN292">
        <v>4</v>
      </c>
    </row>
    <row r="293" spans="1:82" x14ac:dyDescent="0.25">
      <c r="AA293" s="4" t="s">
        <v>109</v>
      </c>
      <c r="AB293">
        <v>400</v>
      </c>
      <c r="AC293">
        <v>385</v>
      </c>
      <c r="AD293">
        <v>250</v>
      </c>
      <c r="AE293">
        <v>100</v>
      </c>
      <c r="AF293">
        <v>68</v>
      </c>
      <c r="AG293">
        <v>140</v>
      </c>
      <c r="AH293">
        <v>100</v>
      </c>
      <c r="AI293">
        <v>83</v>
      </c>
      <c r="AJ293">
        <v>120</v>
      </c>
      <c r="AK293">
        <v>108</v>
      </c>
      <c r="AL293">
        <v>90</v>
      </c>
      <c r="AM293">
        <v>80</v>
      </c>
      <c r="AN293">
        <v>66</v>
      </c>
    </row>
    <row r="294" spans="1:82" x14ac:dyDescent="0.25">
      <c r="AA294" s="4" t="s">
        <v>110</v>
      </c>
      <c r="AB294" t="s">
        <v>97</v>
      </c>
      <c r="AC294" t="s">
        <v>99</v>
      </c>
      <c r="AD294" t="s">
        <v>97</v>
      </c>
      <c r="AE294" t="s">
        <v>99</v>
      </c>
      <c r="AF294" t="s">
        <v>100</v>
      </c>
      <c r="AG294" t="s">
        <v>98</v>
      </c>
      <c r="AH294" t="s">
        <v>98</v>
      </c>
      <c r="AI294" t="s">
        <v>99</v>
      </c>
      <c r="AJ294" t="s">
        <v>96</v>
      </c>
      <c r="AK294" t="s">
        <v>99</v>
      </c>
      <c r="AL294" t="s">
        <v>96</v>
      </c>
      <c r="AM294" t="s">
        <v>96</v>
      </c>
      <c r="AN294" t="s">
        <v>96</v>
      </c>
    </row>
    <row r="295" spans="1:82" x14ac:dyDescent="0.25">
      <c r="AA295" s="4" t="s">
        <v>115</v>
      </c>
      <c r="AB295" t="s">
        <v>116</v>
      </c>
      <c r="AC295" t="s">
        <v>116</v>
      </c>
      <c r="AD295" t="s">
        <v>116</v>
      </c>
      <c r="AE295" t="s">
        <v>116</v>
      </c>
      <c r="AF295" t="s">
        <v>116</v>
      </c>
      <c r="AG295" t="s">
        <v>116</v>
      </c>
      <c r="AH295" t="s">
        <v>116</v>
      </c>
      <c r="AI295" t="s">
        <v>116</v>
      </c>
      <c r="AJ295" t="s">
        <v>117</v>
      </c>
      <c r="AK295" t="s">
        <v>117</v>
      </c>
      <c r="AL295" t="s">
        <v>117</v>
      </c>
      <c r="AM295" t="s">
        <v>117</v>
      </c>
      <c r="AN295" t="s">
        <v>117</v>
      </c>
      <c r="AO295" t="s">
        <v>94</v>
      </c>
    </row>
    <row r="297" spans="1:82" x14ac:dyDescent="0.25">
      <c r="BI297" t="s">
        <v>141</v>
      </c>
    </row>
    <row r="298" spans="1:82" x14ac:dyDescent="0.25">
      <c r="AP298" s="4" t="s">
        <v>126</v>
      </c>
      <c r="AS298" s="4" t="s">
        <v>122</v>
      </c>
      <c r="AT298" s="4"/>
      <c r="AU298" s="4" t="s">
        <v>142</v>
      </c>
      <c r="AV298" s="4"/>
      <c r="AW298" s="4" t="s">
        <v>128</v>
      </c>
      <c r="AY298" s="4" t="s">
        <v>133</v>
      </c>
      <c r="BA298" s="4" t="s">
        <v>134</v>
      </c>
      <c r="BC298" s="4" t="s">
        <v>135</v>
      </c>
      <c r="BE298" s="4" t="s">
        <v>138</v>
      </c>
      <c r="BI298" t="s">
        <v>116</v>
      </c>
      <c r="BK298" t="s">
        <v>117</v>
      </c>
      <c r="BM298" t="s">
        <v>127</v>
      </c>
    </row>
    <row r="299" spans="1:82" x14ac:dyDescent="0.25">
      <c r="AB299" s="4" t="s">
        <v>121</v>
      </c>
      <c r="AP299" s="4" t="s">
        <v>116</v>
      </c>
      <c r="AQ299" s="4" t="s">
        <v>117</v>
      </c>
      <c r="AR299" s="4"/>
      <c r="AS299" s="1" t="s">
        <v>116</v>
      </c>
      <c r="AT299" s="1" t="s">
        <v>117</v>
      </c>
      <c r="AU299" s="14" t="s">
        <v>116</v>
      </c>
      <c r="AV299" s="14" t="s">
        <v>117</v>
      </c>
      <c r="AW299" s="4" t="s">
        <v>116</v>
      </c>
      <c r="AX299" s="4" t="s">
        <v>117</v>
      </c>
      <c r="AY299" s="4" t="s">
        <v>130</v>
      </c>
      <c r="AZ299" s="4" t="s">
        <v>129</v>
      </c>
      <c r="BA299" s="4" t="s">
        <v>116</v>
      </c>
      <c r="BB299" s="4" t="s">
        <v>117</v>
      </c>
      <c r="BC299" s="4" t="s">
        <v>116</v>
      </c>
      <c r="BD299" s="4" t="s">
        <v>117</v>
      </c>
      <c r="BE299" s="4" t="s">
        <v>116</v>
      </c>
      <c r="BF299" s="4" t="s">
        <v>117</v>
      </c>
      <c r="BG299" s="4" t="s">
        <v>137</v>
      </c>
      <c r="BI299" s="4" t="s">
        <v>139</v>
      </c>
      <c r="BJ299" s="4" t="s">
        <v>140</v>
      </c>
      <c r="BK299" s="4" t="s">
        <v>139</v>
      </c>
      <c r="BL299" s="4" t="s">
        <v>140</v>
      </c>
      <c r="BM299">
        <v>1</v>
      </c>
      <c r="BN299">
        <v>2</v>
      </c>
      <c r="BO299">
        <v>3</v>
      </c>
      <c r="BP299">
        <v>4</v>
      </c>
      <c r="BQ299">
        <v>5</v>
      </c>
      <c r="BR299">
        <v>6</v>
      </c>
      <c r="BS299">
        <v>7</v>
      </c>
      <c r="BT299">
        <v>8</v>
      </c>
      <c r="BU299">
        <v>9</v>
      </c>
      <c r="BV299">
        <v>10</v>
      </c>
      <c r="BW299">
        <v>11</v>
      </c>
      <c r="BX299">
        <v>12</v>
      </c>
      <c r="BY299">
        <v>13</v>
      </c>
      <c r="BZ299">
        <v>14</v>
      </c>
      <c r="CC299" t="s">
        <v>131</v>
      </c>
      <c r="CD299" t="s">
        <v>132</v>
      </c>
    </row>
    <row r="300" spans="1:82" x14ac:dyDescent="0.25">
      <c r="A300" s="7">
        <f>B300/(1-Assump!$D$4)</f>
        <v>1007.5757575757576</v>
      </c>
      <c r="B300" s="1">
        <v>950</v>
      </c>
      <c r="C300" s="9">
        <f t="shared" ref="C300" si="95">MIN(HVDC_IR_transfer_cap,HVDC_Received_Max-B300-ModulationRisk)</f>
        <v>151.42857142857133</v>
      </c>
      <c r="D300" s="7">
        <f>IF($B300&lt;HVDC_Received_Max,MAX(0,MIN($AS300,C300)),NA())</f>
        <v>151.42857142857133</v>
      </c>
      <c r="E300" s="7">
        <f t="shared" ref="E300" si="96">IF($B300&lt;HVDC_Received_Max,B300-Pole2_limit+ModulationRisk,NA())</f>
        <v>452</v>
      </c>
      <c r="F300" s="7">
        <f>IF($B300&lt;HVDC_Received_Max,MAX(0,MIN($AS300,$AS300-C300)),NA())</f>
        <v>248.57145657142866</v>
      </c>
      <c r="G300" s="7">
        <f>IF($B300&lt;HVDC_Received_Max,$AS300,NA())</f>
        <v>400.00002799999999</v>
      </c>
      <c r="H300" s="7">
        <f t="shared" ref="H300" si="97">IF($B300&lt;HVDC_Received_Max,NI_IL,NA())</f>
        <v>20</v>
      </c>
      <c r="I300" s="7">
        <f t="shared" ref="I300" si="98">MAX(0,MAX(E300,F300)-H300)</f>
        <v>432</v>
      </c>
      <c r="J300" s="7">
        <f t="shared" ref="J300" si="99">I300-I299</f>
        <v>432</v>
      </c>
      <c r="K300" s="7"/>
      <c r="L300" s="7">
        <f t="shared" ref="L300" si="100">IF($B300&lt;HVDC_Received_Max,NI_demand-$B300,NA())</f>
        <v>3550</v>
      </c>
      <c r="M300" s="7">
        <f t="shared" ref="M300" si="101">IF($B300&lt;HVDC_Received_Max,I300,NA())</f>
        <v>432</v>
      </c>
      <c r="N300" s="7" t="e">
        <f>IF(OR($B300&gt;Assump!$E$9,$B300&lt;HVDC_Received_Max),NA(),NI_demand*2)</f>
        <v>#N/A</v>
      </c>
      <c r="O300" s="7">
        <f t="shared" ref="O300" si="102">SUM(L300:M300)</f>
        <v>3982</v>
      </c>
      <c r="AA300" t="s">
        <v>94</v>
      </c>
      <c r="AB300">
        <f>AB$293+COLUMN()/1000000</f>
        <v>400.00002799999999</v>
      </c>
      <c r="AC300">
        <f t="shared" ref="AC300:AN300" si="103">AC$293+COLUMN()/1000000</f>
        <v>385.00002899999998</v>
      </c>
      <c r="AD300">
        <f t="shared" si="103"/>
        <v>250.00003000000001</v>
      </c>
      <c r="AE300">
        <f t="shared" si="103"/>
        <v>100.00003100000001</v>
      </c>
      <c r="AF300">
        <f t="shared" si="103"/>
        <v>68.000032000000004</v>
      </c>
      <c r="AG300">
        <f t="shared" si="103"/>
        <v>140.000033</v>
      </c>
      <c r="AH300">
        <f t="shared" si="103"/>
        <v>100.000034</v>
      </c>
      <c r="AI300">
        <f t="shared" si="103"/>
        <v>83.000034999999997</v>
      </c>
      <c r="AJ300">
        <f t="shared" si="103"/>
        <v>120.00003599999999</v>
      </c>
      <c r="AK300">
        <f t="shared" si="103"/>
        <v>108.00003700000001</v>
      </c>
      <c r="AL300">
        <f t="shared" si="103"/>
        <v>90.000038000000004</v>
      </c>
      <c r="AM300">
        <f t="shared" si="103"/>
        <v>80.000039000000001</v>
      </c>
      <c r="AN300">
        <f t="shared" si="103"/>
        <v>66.000039999999998</v>
      </c>
      <c r="AO300" t="s">
        <v>94</v>
      </c>
      <c r="AP300" s="9">
        <f>$E300+COLUMN()/1000000</f>
        <v>452.00004200000001</v>
      </c>
      <c r="AQ300" s="32">
        <v>0</v>
      </c>
      <c r="AR300" s="9" t="s">
        <v>94</v>
      </c>
      <c r="AS300">
        <f t="array" ref="AS300">MAX(IF($AA$295:$AO$295=AS$299,$AA300:$AO300))</f>
        <v>400.00002799999999</v>
      </c>
      <c r="AT300">
        <f t="array" ref="AT300">MAX(IF($AA$295:$AO$295=AT$299,$AA300:$AO300))</f>
        <v>120.00003599999999</v>
      </c>
      <c r="AU300" s="9">
        <f>MAX(AP300,AS300)</f>
        <v>452.00004200000001</v>
      </c>
      <c r="AV300" s="9">
        <f>MAX(AQ300,AT300)</f>
        <v>120.00003599999999</v>
      </c>
      <c r="AW300" s="9">
        <f>$B300</f>
        <v>950</v>
      </c>
      <c r="AX300" s="32">
        <v>0</v>
      </c>
      <c r="AY300" s="9">
        <f>$C300</f>
        <v>151.42857142857133</v>
      </c>
      <c r="AZ300" s="32">
        <f>HVDC_IR_transfer_cap</f>
        <v>220</v>
      </c>
      <c r="BA300" s="9">
        <f>MAX(AP300,AS300)-BB300</f>
        <v>300.57147057142868</v>
      </c>
      <c r="BB300" s="33">
        <f>$AY300</f>
        <v>151.42857142857133</v>
      </c>
      <c r="BC300" s="1">
        <v>30</v>
      </c>
      <c r="BD300" s="1">
        <v>3</v>
      </c>
      <c r="BE300" s="15">
        <f>BA300*BC300/2</f>
        <v>4508.5720585714298</v>
      </c>
      <c r="BF300" s="15">
        <f>BB300*BD300/2</f>
        <v>227.142857142857</v>
      </c>
      <c r="BG300" s="15">
        <f>SUM(BF300:BF300)</f>
        <v>227.142857142857</v>
      </c>
      <c r="BI300" s="9">
        <f>MIN(AU300,BA300)</f>
        <v>300.57147057142868</v>
      </c>
      <c r="BJ300" s="9">
        <f>AU300-BI300</f>
        <v>151.42857142857133</v>
      </c>
      <c r="BK300" s="9">
        <f>MIN(AV300,BB300)</f>
        <v>120.00003599999999</v>
      </c>
      <c r="BL300" s="9">
        <f>AV300-BK300</f>
        <v>0</v>
      </c>
      <c r="BM300">
        <f t="shared" ref="BM300:BZ300" si="104">LARGE($AA300:$AR300,BM$299)</f>
        <v>452.00004200000001</v>
      </c>
      <c r="BN300">
        <f t="shared" si="104"/>
        <v>400.00002799999999</v>
      </c>
      <c r="BO300">
        <f t="shared" si="104"/>
        <v>385.00002899999998</v>
      </c>
      <c r="BP300">
        <f t="shared" si="104"/>
        <v>250.00003000000001</v>
      </c>
      <c r="BQ300">
        <f t="shared" si="104"/>
        <v>140.000033</v>
      </c>
      <c r="BR300">
        <f t="shared" si="104"/>
        <v>120.00003599999999</v>
      </c>
      <c r="BS300">
        <f t="shared" si="104"/>
        <v>108.00003700000001</v>
      </c>
      <c r="BT300">
        <f t="shared" si="104"/>
        <v>100.000034</v>
      </c>
      <c r="BU300">
        <f t="shared" si="104"/>
        <v>100.00003100000001</v>
      </c>
      <c r="BV300">
        <f t="shared" si="104"/>
        <v>90.000038000000004</v>
      </c>
      <c r="BW300">
        <f t="shared" si="104"/>
        <v>83.000034999999997</v>
      </c>
      <c r="BX300">
        <f t="shared" si="104"/>
        <v>80.000039000000001</v>
      </c>
      <c r="BY300">
        <f t="shared" si="104"/>
        <v>68.000032000000004</v>
      </c>
      <c r="BZ300">
        <f t="shared" si="104"/>
        <v>66.000039999999998</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
  <sheetViews>
    <sheetView workbookViewId="0">
      <selection activeCell="B1" sqref="B1"/>
    </sheetView>
  </sheetViews>
  <sheetFormatPr defaultRowHeight="15" x14ac:dyDescent="0.25"/>
  <sheetData>
    <row r="1" spans="1:3" x14ac:dyDescent="0.35">
      <c r="A1" t="s">
        <v>0</v>
      </c>
      <c r="B1" s="14" t="s">
        <v>260</v>
      </c>
      <c r="C1"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3:H45"/>
  <sheetViews>
    <sheetView workbookViewId="0"/>
  </sheetViews>
  <sheetFormatPr defaultRowHeight="15" x14ac:dyDescent="0.25"/>
  <sheetData>
    <row r="3" spans="1:7" ht="14.45" x14ac:dyDescent="0.35">
      <c r="C3" t="s">
        <v>3</v>
      </c>
    </row>
    <row r="4" spans="1:7" ht="14.45" x14ac:dyDescent="0.35">
      <c r="C4" t="s">
        <v>4</v>
      </c>
      <c r="D4" s="1">
        <v>100</v>
      </c>
    </row>
    <row r="5" spans="1:7" ht="14.45" x14ac:dyDescent="0.35">
      <c r="C5" t="s">
        <v>5</v>
      </c>
      <c r="D5" s="1">
        <v>1</v>
      </c>
    </row>
    <row r="6" spans="1:7" ht="14.45" x14ac:dyDescent="0.35">
      <c r="C6" t="s">
        <v>6</v>
      </c>
      <c r="D6">
        <f>D4*8760*D5/1000000</f>
        <v>0.876</v>
      </c>
    </row>
    <row r="9" spans="1:7" ht="14.45" x14ac:dyDescent="0.35">
      <c r="A9" s="4" t="s">
        <v>88</v>
      </c>
    </row>
    <row r="10" spans="1:7" ht="14.45" x14ac:dyDescent="0.35">
      <c r="A10" t="s">
        <v>69</v>
      </c>
      <c r="B10" t="s">
        <v>70</v>
      </c>
      <c r="C10" t="s">
        <v>71</v>
      </c>
      <c r="D10" t="s">
        <v>72</v>
      </c>
      <c r="E10" t="s">
        <v>73</v>
      </c>
      <c r="F10" t="s">
        <v>86</v>
      </c>
      <c r="G10" t="s">
        <v>87</v>
      </c>
    </row>
    <row r="11" spans="1:7" ht="14.45" x14ac:dyDescent="0.35">
      <c r="A11" t="s">
        <v>74</v>
      </c>
      <c r="B11" t="s">
        <v>75</v>
      </c>
      <c r="C11" t="s">
        <v>76</v>
      </c>
      <c r="D11">
        <v>21</v>
      </c>
      <c r="E11" t="s">
        <v>77</v>
      </c>
      <c r="F11" s="22">
        <v>37.426582035622999</v>
      </c>
      <c r="G11" s="22">
        <v>37.600000381469698</v>
      </c>
    </row>
    <row r="12" spans="1:7" ht="14.45" x14ac:dyDescent="0.35">
      <c r="A12" t="s">
        <v>74</v>
      </c>
      <c r="B12" t="s">
        <v>75</v>
      </c>
      <c r="C12" t="s">
        <v>76</v>
      </c>
      <c r="D12">
        <v>21</v>
      </c>
      <c r="E12" t="s">
        <v>78</v>
      </c>
      <c r="F12" s="22">
        <v>56.814554213264799</v>
      </c>
      <c r="G12" s="22">
        <v>57</v>
      </c>
    </row>
    <row r="13" spans="1:7" ht="14.45" x14ac:dyDescent="0.35">
      <c r="A13" t="s">
        <v>74</v>
      </c>
      <c r="B13" t="s">
        <v>75</v>
      </c>
      <c r="C13" t="s">
        <v>76</v>
      </c>
      <c r="D13">
        <v>22</v>
      </c>
      <c r="E13" t="s">
        <v>77</v>
      </c>
      <c r="F13" s="22">
        <v>42.447271861726499</v>
      </c>
      <c r="G13" s="22">
        <v>42.799999237060497</v>
      </c>
    </row>
    <row r="14" spans="1:7" ht="14.45" x14ac:dyDescent="0.35">
      <c r="A14" t="s">
        <v>74</v>
      </c>
      <c r="B14" t="s">
        <v>75</v>
      </c>
      <c r="C14" t="s">
        <v>76</v>
      </c>
      <c r="D14">
        <v>22</v>
      </c>
      <c r="E14" t="s">
        <v>78</v>
      </c>
      <c r="F14" s="22">
        <v>56.623115394693102</v>
      </c>
      <c r="G14" s="22">
        <v>56.900001525878899</v>
      </c>
    </row>
    <row r="15" spans="1:7" ht="14.45" x14ac:dyDescent="0.35">
      <c r="A15" t="s">
        <v>74</v>
      </c>
      <c r="B15" t="s">
        <v>75</v>
      </c>
      <c r="C15" t="s">
        <v>79</v>
      </c>
      <c r="D15">
        <v>0</v>
      </c>
      <c r="E15" t="s">
        <v>77</v>
      </c>
      <c r="F15" s="22">
        <v>7.6999998092651296</v>
      </c>
      <c r="G15" s="22">
        <v>7.6999998092651296</v>
      </c>
    </row>
    <row r="16" spans="1:7" ht="14.45" x14ac:dyDescent="0.35">
      <c r="A16" t="s">
        <v>74</v>
      </c>
      <c r="B16" t="s">
        <v>75</v>
      </c>
      <c r="C16" t="s">
        <v>79</v>
      </c>
      <c r="D16">
        <v>0</v>
      </c>
      <c r="E16" t="s">
        <v>78</v>
      </c>
      <c r="F16" s="22">
        <v>61.200000762939403</v>
      </c>
      <c r="G16" s="22">
        <v>61.200000762939403</v>
      </c>
    </row>
    <row r="17" spans="1:7" ht="14.45" x14ac:dyDescent="0.35">
      <c r="A17" t="s">
        <v>80</v>
      </c>
      <c r="B17" t="s">
        <v>81</v>
      </c>
      <c r="C17" t="s">
        <v>82</v>
      </c>
      <c r="D17">
        <v>1</v>
      </c>
      <c r="E17" t="s">
        <v>77</v>
      </c>
      <c r="F17" s="22">
        <v>2.7495254786017602</v>
      </c>
      <c r="G17" s="22">
        <v>27.000000145053399</v>
      </c>
    </row>
    <row r="18" spans="1:7" ht="14.45" x14ac:dyDescent="0.35">
      <c r="A18" t="s">
        <v>80</v>
      </c>
      <c r="B18" t="s">
        <v>81</v>
      </c>
      <c r="C18" t="s">
        <v>82</v>
      </c>
      <c r="D18">
        <v>1</v>
      </c>
      <c r="E18" t="s">
        <v>78</v>
      </c>
      <c r="F18" s="22">
        <v>3.5080588796215801</v>
      </c>
      <c r="G18" s="22">
        <v>35.0000010987278</v>
      </c>
    </row>
    <row r="19" spans="1:7" ht="14.45" x14ac:dyDescent="0.35">
      <c r="A19" t="s">
        <v>80</v>
      </c>
      <c r="B19" t="s">
        <v>81</v>
      </c>
      <c r="C19" t="s">
        <v>82</v>
      </c>
      <c r="D19">
        <v>2</v>
      </c>
      <c r="E19" t="s">
        <v>77</v>
      </c>
      <c r="F19" s="22">
        <v>3.1740597987487602</v>
      </c>
      <c r="G19" s="22">
        <v>27.0000005493639</v>
      </c>
    </row>
    <row r="20" spans="1:7" ht="14.45" x14ac:dyDescent="0.35">
      <c r="A20" t="s">
        <v>80</v>
      </c>
      <c r="B20" t="s">
        <v>81</v>
      </c>
      <c r="C20" t="s">
        <v>82</v>
      </c>
      <c r="D20">
        <v>2</v>
      </c>
      <c r="E20" t="s">
        <v>78</v>
      </c>
      <c r="F20" s="22">
        <v>4.0964350993867198</v>
      </c>
      <c r="G20" s="22">
        <v>35.0000010987278</v>
      </c>
    </row>
    <row r="21" spans="1:7" ht="14.45" x14ac:dyDescent="0.35">
      <c r="A21" t="s">
        <v>80</v>
      </c>
      <c r="B21" t="s">
        <v>81</v>
      </c>
      <c r="C21" t="s">
        <v>82</v>
      </c>
      <c r="D21">
        <v>4</v>
      </c>
      <c r="E21" t="s">
        <v>77</v>
      </c>
      <c r="F21" s="22">
        <v>5.5338024419515</v>
      </c>
      <c r="G21" s="22">
        <v>27.0000005493639</v>
      </c>
    </row>
    <row r="22" spans="1:7" ht="14.45" x14ac:dyDescent="0.35">
      <c r="A22" t="s">
        <v>80</v>
      </c>
      <c r="B22" t="s">
        <v>81</v>
      </c>
      <c r="C22" t="s">
        <v>82</v>
      </c>
      <c r="D22">
        <v>4</v>
      </c>
      <c r="E22" t="s">
        <v>78</v>
      </c>
      <c r="F22" s="22">
        <v>7.0968067265060197</v>
      </c>
      <c r="G22" s="22">
        <v>35.000000549363897</v>
      </c>
    </row>
    <row r="23" spans="1:7" ht="14.45" x14ac:dyDescent="0.35">
      <c r="A23" t="s">
        <v>83</v>
      </c>
      <c r="B23" t="s">
        <v>84</v>
      </c>
      <c r="C23" t="s">
        <v>85</v>
      </c>
      <c r="D23">
        <v>0</v>
      </c>
      <c r="E23" t="s">
        <v>77</v>
      </c>
      <c r="F23" s="22">
        <v>5.9999999635468697</v>
      </c>
      <c r="G23" s="22">
        <v>6</v>
      </c>
    </row>
    <row r="24" spans="1:7" ht="14.45" x14ac:dyDescent="0.35">
      <c r="A24" t="s">
        <v>83</v>
      </c>
      <c r="B24" t="s">
        <v>84</v>
      </c>
      <c r="C24" t="s">
        <v>85</v>
      </c>
      <c r="D24">
        <v>0</v>
      </c>
      <c r="E24" t="s">
        <v>78</v>
      </c>
      <c r="F24" s="22">
        <v>5.9999999679602096</v>
      </c>
      <c r="G24" s="22">
        <v>6</v>
      </c>
    </row>
    <row r="26" spans="1:7" x14ac:dyDescent="0.25">
      <c r="E26" s="1" t="s">
        <v>77</v>
      </c>
      <c r="F26" s="22">
        <f t="array" ref="F26">SUM(IF($E$10:$E$24=$E26,F$10:F$24))</f>
        <v>105.03124138946352</v>
      </c>
      <c r="G26" s="22">
        <f t="array" ref="G26">SUM(IF($E$10:$E$24=$E26,G$10:G$24))</f>
        <v>175.10000067157654</v>
      </c>
    </row>
    <row r="27" spans="1:7" x14ac:dyDescent="0.25">
      <c r="E27" s="1" t="s">
        <v>78</v>
      </c>
      <c r="F27" s="22">
        <f t="array" ref="F27">SUM(IF($E$10:$E$24=$E27,F$10:F$24))</f>
        <v>195.33897104437185</v>
      </c>
      <c r="G27" s="22">
        <f t="array" ref="G27">SUM(IF($E$10:$E$24=$E27,G$10:G$24))</f>
        <v>286.10000503563782</v>
      </c>
    </row>
    <row r="29" spans="1:7" x14ac:dyDescent="0.25">
      <c r="B29" s="4" t="s">
        <v>54</v>
      </c>
    </row>
    <row r="30" spans="1:7" x14ac:dyDescent="0.25">
      <c r="B30" t="s">
        <v>34</v>
      </c>
    </row>
    <row r="31" spans="1:7" x14ac:dyDescent="0.25">
      <c r="C31" t="s">
        <v>49</v>
      </c>
      <c r="D31" t="s">
        <v>51</v>
      </c>
      <c r="E31" t="s">
        <v>52</v>
      </c>
    </row>
    <row r="32" spans="1:7" x14ac:dyDescent="0.25">
      <c r="A32" t="s">
        <v>36</v>
      </c>
      <c r="B32" t="s">
        <v>33</v>
      </c>
      <c r="C32" t="s">
        <v>50</v>
      </c>
      <c r="E32" s="8">
        <v>1685</v>
      </c>
    </row>
    <row r="33" spans="1:8" x14ac:dyDescent="0.25">
      <c r="A33" t="s">
        <v>36</v>
      </c>
      <c r="B33" t="s">
        <v>35</v>
      </c>
      <c r="C33" t="s">
        <v>50</v>
      </c>
      <c r="E33" s="8">
        <v>666</v>
      </c>
    </row>
    <row r="34" spans="1:8" x14ac:dyDescent="0.25">
      <c r="A34" t="s">
        <v>37</v>
      </c>
      <c r="B34" t="s">
        <v>38</v>
      </c>
      <c r="C34" t="s">
        <v>50</v>
      </c>
      <c r="E34" s="8">
        <v>6</v>
      </c>
    </row>
    <row r="35" spans="1:8" x14ac:dyDescent="0.25">
      <c r="A35" t="s">
        <v>37</v>
      </c>
      <c r="B35" t="s">
        <v>39</v>
      </c>
      <c r="C35" t="s">
        <v>50</v>
      </c>
      <c r="E35" s="8">
        <v>31</v>
      </c>
    </row>
    <row r="36" spans="1:8" x14ac:dyDescent="0.25">
      <c r="A36" t="s">
        <v>37</v>
      </c>
      <c r="B36" t="s">
        <v>40</v>
      </c>
      <c r="C36" t="s">
        <v>50</v>
      </c>
      <c r="E36" s="8">
        <v>39</v>
      </c>
    </row>
    <row r="37" spans="1:8" x14ac:dyDescent="0.25">
      <c r="A37" t="s">
        <v>37</v>
      </c>
      <c r="B37" t="s">
        <v>41</v>
      </c>
      <c r="C37" t="s">
        <v>50</v>
      </c>
      <c r="E37" s="8">
        <v>5</v>
      </c>
    </row>
    <row r="38" spans="1:8" x14ac:dyDescent="0.25">
      <c r="A38" t="s">
        <v>37</v>
      </c>
      <c r="B38" t="s">
        <v>42</v>
      </c>
      <c r="C38" t="s">
        <v>50</v>
      </c>
      <c r="E38" s="8">
        <v>23</v>
      </c>
    </row>
    <row r="39" spans="1:8" x14ac:dyDescent="0.25">
      <c r="A39" t="s">
        <v>37</v>
      </c>
      <c r="B39" t="s">
        <v>43</v>
      </c>
      <c r="C39" t="s">
        <v>50</v>
      </c>
      <c r="E39" s="8">
        <v>8</v>
      </c>
    </row>
    <row r="40" spans="1:8" x14ac:dyDescent="0.25">
      <c r="A40" t="s">
        <v>37</v>
      </c>
      <c r="B40" t="s">
        <v>44</v>
      </c>
      <c r="C40" t="s">
        <v>53</v>
      </c>
      <c r="E40" s="8">
        <v>8</v>
      </c>
    </row>
    <row r="41" spans="1:8" x14ac:dyDescent="0.25">
      <c r="A41" t="s">
        <v>37</v>
      </c>
      <c r="B41" t="s">
        <v>45</v>
      </c>
      <c r="C41" t="s">
        <v>50</v>
      </c>
      <c r="E41" s="8">
        <v>784</v>
      </c>
    </row>
    <row r="42" spans="1:8" x14ac:dyDescent="0.25">
      <c r="A42" t="s">
        <v>37</v>
      </c>
      <c r="B42" t="s">
        <v>46</v>
      </c>
      <c r="C42" t="s">
        <v>50</v>
      </c>
      <c r="E42" s="8">
        <v>7</v>
      </c>
      <c r="H42" t="s">
        <v>89</v>
      </c>
    </row>
    <row r="43" spans="1:8" x14ac:dyDescent="0.25">
      <c r="A43" t="s">
        <v>37</v>
      </c>
      <c r="B43" t="s">
        <v>47</v>
      </c>
      <c r="C43" t="s">
        <v>50</v>
      </c>
      <c r="E43" s="8">
        <v>64</v>
      </c>
      <c r="G43" t="s">
        <v>26</v>
      </c>
      <c r="H43" s="17">
        <v>2850</v>
      </c>
    </row>
    <row r="44" spans="1:8" x14ac:dyDescent="0.25">
      <c r="A44" t="s">
        <v>37</v>
      </c>
      <c r="B44" t="s">
        <v>48</v>
      </c>
      <c r="C44" t="s">
        <v>53</v>
      </c>
      <c r="E44" s="8">
        <v>13</v>
      </c>
      <c r="G44" t="s">
        <v>27</v>
      </c>
      <c r="H44" s="1">
        <v>300</v>
      </c>
    </row>
    <row r="45" spans="1:8" x14ac:dyDescent="0.25">
      <c r="B45" t="s">
        <v>17</v>
      </c>
      <c r="E45" s="7">
        <f>SUM(E32:E44)</f>
        <v>3339</v>
      </c>
      <c r="G45" t="s">
        <v>17</v>
      </c>
      <c r="H45" s="18">
        <f>SUM(H43:H44)</f>
        <v>3150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2"/>
  <sheetViews>
    <sheetView workbookViewId="0">
      <selection activeCell="J5" sqref="J5:K5"/>
    </sheetView>
  </sheetViews>
  <sheetFormatPr defaultRowHeight="15" x14ac:dyDescent="0.25"/>
  <sheetData>
    <row r="1" spans="1:12" ht="14.45" x14ac:dyDescent="0.35">
      <c r="A1" t="s">
        <v>215</v>
      </c>
    </row>
    <row r="2" spans="1:12" ht="14.45" x14ac:dyDescent="0.35">
      <c r="A2" t="s">
        <v>216</v>
      </c>
    </row>
    <row r="3" spans="1:12" ht="14.45" x14ac:dyDescent="0.35">
      <c r="B3">
        <f>SUM(B4:B42)</f>
        <v>3336</v>
      </c>
      <c r="D3">
        <f>SUM(D4:D42)</f>
        <v>988</v>
      </c>
      <c r="F3">
        <f>SUM(F4:F42)</f>
        <v>1166</v>
      </c>
      <c r="H3">
        <f>SUM(H4:H42)</f>
        <v>2351</v>
      </c>
      <c r="J3" t="s">
        <v>17</v>
      </c>
    </row>
    <row r="4" spans="1:12" ht="14.45" x14ac:dyDescent="0.35">
      <c r="B4" t="s">
        <v>214</v>
      </c>
      <c r="D4" t="s">
        <v>217</v>
      </c>
      <c r="F4" t="s">
        <v>218</v>
      </c>
      <c r="H4" t="s">
        <v>219</v>
      </c>
      <c r="J4" t="s">
        <v>213</v>
      </c>
      <c r="K4" t="s">
        <v>220</v>
      </c>
      <c r="L4" t="s">
        <v>221</v>
      </c>
    </row>
    <row r="5" spans="1:12" ht="14.45" x14ac:dyDescent="0.35">
      <c r="B5">
        <v>14</v>
      </c>
      <c r="D5">
        <v>6</v>
      </c>
      <c r="F5">
        <v>1031</v>
      </c>
      <c r="H5">
        <v>1685</v>
      </c>
      <c r="J5">
        <f>SUM(B3,F3)</f>
        <v>4502</v>
      </c>
      <c r="K5">
        <f>SUM(D3,H3)</f>
        <v>3339</v>
      </c>
      <c r="L5">
        <f>SUM(J5:K5)</f>
        <v>7841</v>
      </c>
    </row>
    <row r="6" spans="1:12" ht="14.45" x14ac:dyDescent="0.35">
      <c r="B6">
        <v>42</v>
      </c>
      <c r="D6">
        <v>31</v>
      </c>
      <c r="F6">
        <v>135</v>
      </c>
      <c r="H6">
        <v>666</v>
      </c>
    </row>
    <row r="7" spans="1:12" ht="14.45" x14ac:dyDescent="0.35">
      <c r="B7">
        <v>471</v>
      </c>
      <c r="D7">
        <v>39</v>
      </c>
    </row>
    <row r="8" spans="1:12" ht="14.45" x14ac:dyDescent="0.35">
      <c r="B8">
        <v>373</v>
      </c>
      <c r="D8">
        <v>5</v>
      </c>
    </row>
    <row r="9" spans="1:12" ht="14.45" x14ac:dyDescent="0.35">
      <c r="B9">
        <v>47</v>
      </c>
      <c r="D9">
        <v>23</v>
      </c>
    </row>
    <row r="10" spans="1:12" ht="14.45" x14ac:dyDescent="0.35">
      <c r="B10">
        <v>31</v>
      </c>
      <c r="D10">
        <v>8</v>
      </c>
    </row>
    <row r="11" spans="1:12" ht="14.45" x14ac:dyDescent="0.35">
      <c r="B11">
        <v>14</v>
      </c>
      <c r="D11">
        <v>8</v>
      </c>
    </row>
    <row r="12" spans="1:12" ht="14.45" x14ac:dyDescent="0.35">
      <c r="B12">
        <v>94</v>
      </c>
      <c r="D12">
        <v>784</v>
      </c>
    </row>
    <row r="13" spans="1:12" ht="14.45" x14ac:dyDescent="0.35">
      <c r="B13">
        <v>54</v>
      </c>
      <c r="D13">
        <v>7</v>
      </c>
    </row>
    <row r="14" spans="1:12" ht="14.45" x14ac:dyDescent="0.35">
      <c r="B14">
        <v>21</v>
      </c>
      <c r="D14">
        <v>64</v>
      </c>
    </row>
    <row r="15" spans="1:12" ht="14.45" x14ac:dyDescent="0.35">
      <c r="B15">
        <v>23</v>
      </c>
      <c r="D15">
        <v>13</v>
      </c>
    </row>
    <row r="16" spans="1:12" ht="14.45" x14ac:dyDescent="0.35">
      <c r="B16">
        <v>66</v>
      </c>
    </row>
    <row r="17" spans="2:2" ht="14.45" x14ac:dyDescent="0.35">
      <c r="B17">
        <v>97</v>
      </c>
    </row>
    <row r="18" spans="2:2" ht="14.45" x14ac:dyDescent="0.35">
      <c r="B18">
        <v>15</v>
      </c>
    </row>
    <row r="19" spans="2:2" ht="14.45" x14ac:dyDescent="0.35">
      <c r="B19">
        <v>101</v>
      </c>
    </row>
    <row r="20" spans="2:2" ht="14.45" x14ac:dyDescent="0.35">
      <c r="B20">
        <v>120</v>
      </c>
    </row>
    <row r="21" spans="2:2" ht="14.45" x14ac:dyDescent="0.35">
      <c r="B21">
        <v>74</v>
      </c>
    </row>
    <row r="22" spans="2:2" ht="14.45" x14ac:dyDescent="0.35">
      <c r="B22">
        <v>45</v>
      </c>
    </row>
    <row r="23" spans="2:2" ht="14.45" x14ac:dyDescent="0.35">
      <c r="B23">
        <v>26</v>
      </c>
    </row>
    <row r="24" spans="2:2" ht="14.45" x14ac:dyDescent="0.35">
      <c r="B24">
        <v>49</v>
      </c>
    </row>
    <row r="25" spans="2:2" ht="14.45" x14ac:dyDescent="0.35">
      <c r="B25">
        <v>71</v>
      </c>
    </row>
    <row r="26" spans="2:2" x14ac:dyDescent="0.25">
      <c r="B26">
        <v>31</v>
      </c>
    </row>
    <row r="27" spans="2:2" x14ac:dyDescent="0.25">
      <c r="B27">
        <v>194</v>
      </c>
    </row>
    <row r="28" spans="2:2" x14ac:dyDescent="0.25">
      <c r="B28">
        <v>17</v>
      </c>
    </row>
    <row r="29" spans="2:2" x14ac:dyDescent="0.25">
      <c r="B29">
        <v>23</v>
      </c>
    </row>
    <row r="30" spans="2:2" x14ac:dyDescent="0.25">
      <c r="B30">
        <v>366</v>
      </c>
    </row>
    <row r="31" spans="2:2" x14ac:dyDescent="0.25">
      <c r="B31">
        <v>22</v>
      </c>
    </row>
    <row r="32" spans="2:2" x14ac:dyDescent="0.25">
      <c r="B32">
        <v>25</v>
      </c>
    </row>
    <row r="33" spans="2:2" x14ac:dyDescent="0.25">
      <c r="B33">
        <v>149</v>
      </c>
    </row>
    <row r="34" spans="2:2" x14ac:dyDescent="0.25">
      <c r="B34">
        <v>25</v>
      </c>
    </row>
    <row r="35" spans="2:2" x14ac:dyDescent="0.25">
      <c r="B35">
        <v>12</v>
      </c>
    </row>
    <row r="36" spans="2:2" x14ac:dyDescent="0.25">
      <c r="B36">
        <v>16</v>
      </c>
    </row>
    <row r="37" spans="2:2" x14ac:dyDescent="0.25">
      <c r="B37">
        <v>216</v>
      </c>
    </row>
    <row r="38" spans="2:2" x14ac:dyDescent="0.25">
      <c r="B38">
        <v>119</v>
      </c>
    </row>
    <row r="39" spans="2:2" x14ac:dyDescent="0.25">
      <c r="B39">
        <v>35</v>
      </c>
    </row>
    <row r="40" spans="2:2" x14ac:dyDescent="0.25">
      <c r="B40">
        <v>68</v>
      </c>
    </row>
    <row r="41" spans="2:2" x14ac:dyDescent="0.25">
      <c r="B41">
        <v>20</v>
      </c>
    </row>
    <row r="42" spans="2:2" x14ac:dyDescent="0.25">
      <c r="B42">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DU128"/>
  <sheetViews>
    <sheetView zoomScale="46" zoomScaleNormal="46" workbookViewId="0">
      <pane xSplit="11" ySplit="7" topLeftCell="Q8" activePane="bottomRight" state="frozen"/>
      <selection pane="topRight" activeCell="G1" sqref="G1"/>
      <selection pane="bottomLeft" activeCell="A9" sqref="A9"/>
      <selection pane="bottomRight" activeCell="U76" sqref="U76"/>
    </sheetView>
  </sheetViews>
  <sheetFormatPr defaultRowHeight="15" x14ac:dyDescent="0.25"/>
  <sheetData>
    <row r="1" spans="1:125" ht="14.45" x14ac:dyDescent="0.35">
      <c r="B1" t="s">
        <v>237</v>
      </c>
      <c r="C1" s="39">
        <v>220</v>
      </c>
    </row>
    <row r="2" spans="1:125" x14ac:dyDescent="0.25">
      <c r="B2" t="s">
        <v>253</v>
      </c>
      <c r="C2" s="19">
        <v>1</v>
      </c>
      <c r="BR2" t="s">
        <v>247</v>
      </c>
      <c r="BS2" s="19" t="s">
        <v>248</v>
      </c>
    </row>
    <row r="3" spans="1:125" ht="14.45" x14ac:dyDescent="0.35">
      <c r="B3" t="s">
        <v>187</v>
      </c>
      <c r="C3">
        <v>1130</v>
      </c>
      <c r="CW3" s="2"/>
    </row>
    <row r="4" spans="1:125" ht="14.45" x14ac:dyDescent="0.35">
      <c r="BE4" t="s">
        <v>230</v>
      </c>
      <c r="BF4" s="1" t="s">
        <v>150</v>
      </c>
      <c r="BG4" s="1" t="s">
        <v>223</v>
      </c>
      <c r="BH4" s="1" t="s">
        <v>223</v>
      </c>
      <c r="BI4" s="1" t="s">
        <v>223</v>
      </c>
      <c r="BJ4" s="1" t="s">
        <v>223</v>
      </c>
      <c r="BK4" s="1" t="s">
        <v>150</v>
      </c>
      <c r="BL4" s="1" t="s">
        <v>147</v>
      </c>
      <c r="CT4" s="1" t="s">
        <v>223</v>
      </c>
      <c r="CU4" s="1" t="s">
        <v>223</v>
      </c>
      <c r="CV4" s="1" t="s">
        <v>147</v>
      </c>
      <c r="CX4" t="s">
        <v>159</v>
      </c>
    </row>
    <row r="5" spans="1:125" ht="14.45" x14ac:dyDescent="0.35">
      <c r="AB5" s="5"/>
      <c r="AC5" s="5"/>
      <c r="AD5" s="5"/>
      <c r="AE5" s="16"/>
      <c r="AF5" s="16"/>
      <c r="AG5" s="16"/>
      <c r="AH5" s="16"/>
      <c r="AI5" s="16"/>
      <c r="AJ5" s="16"/>
      <c r="AK5" s="16"/>
      <c r="AL5" s="16"/>
      <c r="AM5" s="16"/>
      <c r="AN5" s="16"/>
      <c r="AO5" s="16"/>
      <c r="AP5" s="16"/>
      <c r="AQ5" s="16"/>
      <c r="AR5" s="16"/>
      <c r="AS5" s="16"/>
      <c r="AT5" s="16"/>
      <c r="AU5" s="16"/>
      <c r="AV5" s="1" t="s">
        <v>116</v>
      </c>
      <c r="AW5" s="1" t="s">
        <v>150</v>
      </c>
      <c r="AX5" s="1" t="s">
        <v>117</v>
      </c>
      <c r="AY5" s="1" t="s">
        <v>116</v>
      </c>
      <c r="AZ5" s="1" t="s">
        <v>150</v>
      </c>
      <c r="BA5" s="1" t="s">
        <v>117</v>
      </c>
      <c r="BE5" t="s">
        <v>229</v>
      </c>
      <c r="BF5" s="1" t="s">
        <v>116</v>
      </c>
      <c r="BG5" s="1" t="s">
        <v>150</v>
      </c>
      <c r="BH5" s="1" t="s">
        <v>117</v>
      </c>
      <c r="BI5" s="1" t="s">
        <v>116</v>
      </c>
      <c r="BJ5" s="1" t="s">
        <v>150</v>
      </c>
      <c r="BK5" s="1" t="s">
        <v>117</v>
      </c>
      <c r="BL5" s="1" t="s">
        <v>116</v>
      </c>
      <c r="BR5" s="1">
        <v>0</v>
      </c>
      <c r="BS5" s="1">
        <v>1</v>
      </c>
      <c r="BT5" s="1">
        <v>2</v>
      </c>
      <c r="BU5" s="1">
        <v>0</v>
      </c>
      <c r="BV5" s="1">
        <v>1</v>
      </c>
      <c r="BW5" s="1">
        <v>2</v>
      </c>
      <c r="CH5" t="s">
        <v>158</v>
      </c>
      <c r="CQ5" s="1" t="s">
        <v>116</v>
      </c>
      <c r="CR5" s="1" t="s">
        <v>117</v>
      </c>
      <c r="CS5" s="1" t="s">
        <v>116</v>
      </c>
      <c r="CT5" s="1" t="s">
        <v>116</v>
      </c>
      <c r="CU5" s="1" t="s">
        <v>117</v>
      </c>
      <c r="CV5" s="1" t="s">
        <v>116</v>
      </c>
      <c r="CW5" s="1"/>
      <c r="CX5" t="str">
        <f>CH6</f>
        <v>Island</v>
      </c>
      <c r="DD5" t="str">
        <f>CK6</f>
        <v>National</v>
      </c>
      <c r="DJ5" t="str">
        <f>$CN6</f>
        <v>Factored by sharing limit</v>
      </c>
      <c r="DP5" t="str">
        <f>$CQ6</f>
        <v>Cost to island causer</v>
      </c>
    </row>
    <row r="6" spans="1:125" ht="14.45" x14ac:dyDescent="0.35">
      <c r="G6" t="s">
        <v>144</v>
      </c>
      <c r="I6" t="s">
        <v>164</v>
      </c>
      <c r="L6" t="s">
        <v>145</v>
      </c>
      <c r="N6" t="s">
        <v>165</v>
      </c>
      <c r="S6" t="s">
        <v>143</v>
      </c>
      <c r="V6" t="s">
        <v>136</v>
      </c>
      <c r="Y6" t="s">
        <v>185</v>
      </c>
      <c r="Z6" t="s">
        <v>183</v>
      </c>
      <c r="AB6" t="s">
        <v>143</v>
      </c>
      <c r="AV6" t="s">
        <v>136</v>
      </c>
      <c r="BF6" t="s">
        <v>136</v>
      </c>
      <c r="BR6" t="s">
        <v>149</v>
      </c>
      <c r="BU6" t="s">
        <v>151</v>
      </c>
      <c r="BX6" t="s">
        <v>171</v>
      </c>
      <c r="BZ6" t="s">
        <v>231</v>
      </c>
      <c r="CH6" t="s">
        <v>115</v>
      </c>
      <c r="CK6" t="s">
        <v>170</v>
      </c>
      <c r="CN6" t="s">
        <v>171</v>
      </c>
      <c r="CQ6" t="s">
        <v>148</v>
      </c>
      <c r="CT6" t="s">
        <v>233</v>
      </c>
      <c r="CX6" t="s">
        <v>166</v>
      </c>
      <c r="DA6" t="s">
        <v>167</v>
      </c>
      <c r="DD6" t="s">
        <v>116</v>
      </c>
      <c r="DG6" t="s">
        <v>117</v>
      </c>
      <c r="DJ6" t="s">
        <v>116</v>
      </c>
      <c r="DM6" t="s">
        <v>117</v>
      </c>
      <c r="DP6" t="s">
        <v>116</v>
      </c>
      <c r="DS6" t="s">
        <v>117</v>
      </c>
    </row>
    <row r="7" spans="1:125" ht="14.45" x14ac:dyDescent="0.35">
      <c r="A7" t="s">
        <v>222</v>
      </c>
      <c r="B7" t="s">
        <v>182</v>
      </c>
      <c r="C7" t="s">
        <v>186</v>
      </c>
      <c r="D7" t="s">
        <v>184</v>
      </c>
      <c r="E7" t="s">
        <v>181</v>
      </c>
      <c r="F7" t="s">
        <v>180</v>
      </c>
      <c r="G7" t="s">
        <v>116</v>
      </c>
      <c r="H7" t="s">
        <v>117</v>
      </c>
      <c r="I7" t="s">
        <v>116</v>
      </c>
      <c r="J7" t="s">
        <v>117</v>
      </c>
      <c r="K7" t="s">
        <v>147</v>
      </c>
      <c r="L7" t="s">
        <v>116</v>
      </c>
      <c r="M7" t="s">
        <v>117</v>
      </c>
      <c r="N7" t="s">
        <v>116</v>
      </c>
      <c r="O7" t="s">
        <v>117</v>
      </c>
      <c r="P7" t="s">
        <v>147</v>
      </c>
      <c r="Q7" t="s">
        <v>234</v>
      </c>
      <c r="S7" t="s">
        <v>116</v>
      </c>
      <c r="T7" t="s">
        <v>117</v>
      </c>
      <c r="U7" t="s">
        <v>137</v>
      </c>
      <c r="V7" t="s">
        <v>116</v>
      </c>
      <c r="W7" t="s">
        <v>117</v>
      </c>
      <c r="X7" t="s">
        <v>137</v>
      </c>
      <c r="AB7" t="s">
        <v>152</v>
      </c>
      <c r="AC7" t="s">
        <v>153</v>
      </c>
      <c r="AD7" t="s">
        <v>154</v>
      </c>
      <c r="AE7" t="s">
        <v>155</v>
      </c>
      <c r="AF7" t="s">
        <v>156</v>
      </c>
      <c r="AG7" t="s">
        <v>157</v>
      </c>
      <c r="AH7" t="s">
        <v>137</v>
      </c>
      <c r="AL7" s="48" t="s">
        <v>224</v>
      </c>
      <c r="AM7" s="48" t="s">
        <v>225</v>
      </c>
      <c r="AN7" s="48" t="s">
        <v>226</v>
      </c>
      <c r="AO7" s="48" t="s">
        <v>227</v>
      </c>
      <c r="AP7" s="48" t="s">
        <v>228</v>
      </c>
      <c r="AQ7" s="48" t="s">
        <v>157</v>
      </c>
      <c r="AR7" s="48" t="s">
        <v>206</v>
      </c>
      <c r="AS7" s="40"/>
      <c r="AV7" t="str">
        <f t="shared" ref="AV7:BA7" si="0">AB7</f>
        <v>NI_IR 4 NI_Risk</v>
      </c>
      <c r="AW7" t="str">
        <f t="shared" si="0"/>
        <v>NI_IR 4 shared_risk</v>
      </c>
      <c r="AX7" t="str">
        <f t="shared" si="0"/>
        <v>NI_IR 4 SI_Risk</v>
      </c>
      <c r="AY7" t="str">
        <f t="shared" si="0"/>
        <v>SI_IR 4 NI_Risk</v>
      </c>
      <c r="AZ7" t="str">
        <f t="shared" si="0"/>
        <v>SI_IR 4 shared_risk</v>
      </c>
      <c r="BA7" t="str">
        <f t="shared" si="0"/>
        <v>SI_IR 4 SI_Risk</v>
      </c>
      <c r="BB7" t="s">
        <v>137</v>
      </c>
      <c r="BF7" s="9" t="str">
        <f>AL7</f>
        <v>NI_IR_4_NI_CE</v>
      </c>
      <c r="BG7" s="9" t="str">
        <f t="shared" ref="BG7:BL7" si="1">AM7</f>
        <v>NI_IR 4 shared_AC_risk</v>
      </c>
      <c r="BH7" s="9" t="str">
        <f t="shared" si="1"/>
        <v>NI_IR 4 SI_AC_Risk</v>
      </c>
      <c r="BI7" s="9" t="str">
        <f t="shared" si="1"/>
        <v>SI_IR 4 NI_AC_Risk</v>
      </c>
      <c r="BJ7" s="9" t="str">
        <f t="shared" si="1"/>
        <v>SI_IR 4 shared_AC_risk</v>
      </c>
      <c r="BK7" s="9" t="str">
        <f t="shared" si="1"/>
        <v>SI_IR 4 SI_Risk</v>
      </c>
      <c r="BL7" s="9" t="str">
        <f t="shared" si="1"/>
        <v>NI_IR_4_NI_DC_CE</v>
      </c>
      <c r="BM7" t="s">
        <v>137</v>
      </c>
      <c r="BP7" t="s">
        <v>258</v>
      </c>
      <c r="BR7" s="1" t="s">
        <v>235</v>
      </c>
      <c r="BS7" s="1" t="s">
        <v>236</v>
      </c>
      <c r="BT7" s="54" t="s">
        <v>63</v>
      </c>
      <c r="BU7" t="str">
        <f>BR7</f>
        <v>North gen. &gt; de minimis</v>
      </c>
      <c r="BV7" t="str">
        <f t="shared" ref="BV7" si="2">BS7</f>
        <v>South gen. &gt; de minimis</v>
      </c>
      <c r="BW7" t="str">
        <f t="shared" ref="BW7" si="3">BT7</f>
        <v>HVDC</v>
      </c>
      <c r="BX7" t="s">
        <v>188</v>
      </c>
      <c r="BY7" t="s">
        <v>189</v>
      </c>
      <c r="BZ7" t="str">
        <f>BR7</f>
        <v>North gen. &gt; de minimis</v>
      </c>
      <c r="CA7" t="str">
        <f t="shared" ref="CA7:CB7" si="4">BS7</f>
        <v>South gen. &gt; de minimis</v>
      </c>
      <c r="CB7" t="str">
        <f t="shared" si="4"/>
        <v>HVDC</v>
      </c>
      <c r="CH7" t="str">
        <f>BR7</f>
        <v>North gen. &gt; de minimis</v>
      </c>
      <c r="CI7" t="str">
        <f>BS7</f>
        <v>South gen. &gt; de minimis</v>
      </c>
      <c r="CJ7" t="str">
        <f>BT7</f>
        <v>HVDC</v>
      </c>
      <c r="CK7" t="str">
        <f>CH7</f>
        <v>North gen. &gt; de minimis</v>
      </c>
      <c r="CL7" t="str">
        <f t="shared" ref="CL7:CM7" si="5">CI7</f>
        <v>South gen. &gt; de minimis</v>
      </c>
      <c r="CM7" t="str">
        <f t="shared" si="5"/>
        <v>HVDC</v>
      </c>
      <c r="CN7" t="str">
        <f>CK7</f>
        <v>North gen. &gt; de minimis</v>
      </c>
      <c r="CO7" t="str">
        <f t="shared" ref="CO7" si="6">CL7</f>
        <v>South gen. &gt; de minimis</v>
      </c>
      <c r="CP7" t="str">
        <f t="shared" ref="CP7" si="7">CM7</f>
        <v>HVDC</v>
      </c>
      <c r="CQ7" t="str">
        <f>CK7</f>
        <v>North gen. &gt; de minimis</v>
      </c>
      <c r="CR7" t="str">
        <f>CL7</f>
        <v>South gen. &gt; de minimis</v>
      </c>
      <c r="CS7" t="str">
        <f>CM7</f>
        <v>HVDC</v>
      </c>
      <c r="CT7" t="str">
        <f t="shared" ref="CT7:CV7" si="8">CN7</f>
        <v>North gen. &gt; de minimis</v>
      </c>
      <c r="CU7" t="str">
        <f t="shared" si="8"/>
        <v>South gen. &gt; de minimis</v>
      </c>
      <c r="CV7" t="str">
        <f t="shared" si="8"/>
        <v>HVDC</v>
      </c>
      <c r="CX7" t="s">
        <v>160</v>
      </c>
      <c r="CY7" t="s">
        <v>161</v>
      </c>
      <c r="CZ7" t="s">
        <v>159</v>
      </c>
      <c r="DA7" t="str">
        <f>CX7</f>
        <v>Earned</v>
      </c>
      <c r="DB7" t="str">
        <f t="shared" ref="DB7:DO7" si="9">CY7</f>
        <v>Allocated</v>
      </c>
      <c r="DC7" t="str">
        <f t="shared" si="9"/>
        <v>Net</v>
      </c>
      <c r="DD7" t="str">
        <f t="shared" si="9"/>
        <v>Earned</v>
      </c>
      <c r="DE7" t="str">
        <f t="shared" si="9"/>
        <v>Allocated</v>
      </c>
      <c r="DF7" t="str">
        <f t="shared" si="9"/>
        <v>Net</v>
      </c>
      <c r="DG7" t="str">
        <f t="shared" si="9"/>
        <v>Earned</v>
      </c>
      <c r="DH7" t="str">
        <f t="shared" si="9"/>
        <v>Allocated</v>
      </c>
      <c r="DI7" t="str">
        <f t="shared" si="9"/>
        <v>Net</v>
      </c>
      <c r="DJ7" t="str">
        <f t="shared" si="9"/>
        <v>Earned</v>
      </c>
      <c r="DK7" t="str">
        <f t="shared" si="9"/>
        <v>Allocated</v>
      </c>
      <c r="DL7" t="str">
        <f t="shared" si="9"/>
        <v>Net</v>
      </c>
      <c r="DM7" t="str">
        <f t="shared" si="9"/>
        <v>Earned</v>
      </c>
      <c r="DN7" t="str">
        <f t="shared" si="9"/>
        <v>Allocated</v>
      </c>
      <c r="DO7" t="str">
        <f t="shared" si="9"/>
        <v>Net</v>
      </c>
      <c r="DP7" t="str">
        <f t="shared" ref="DP7" si="10">DM7</f>
        <v>Earned</v>
      </c>
      <c r="DQ7" t="str">
        <f t="shared" ref="DQ7" si="11">DN7</f>
        <v>Allocated</v>
      </c>
      <c r="DR7" t="str">
        <f t="shared" ref="DR7" si="12">DO7</f>
        <v>Net</v>
      </c>
      <c r="DS7" t="str">
        <f t="shared" ref="DS7" si="13">DP7</f>
        <v>Earned</v>
      </c>
      <c r="DT7" t="str">
        <f t="shared" ref="DT7" si="14">DQ7</f>
        <v>Allocated</v>
      </c>
      <c r="DU7" t="str">
        <f t="shared" ref="DU7" si="15">DR7</f>
        <v>Net</v>
      </c>
    </row>
    <row r="8" spans="1:125" ht="14.45" x14ac:dyDescent="0.35">
      <c r="A8" s="1">
        <v>600</v>
      </c>
      <c r="B8" s="1">
        <v>0</v>
      </c>
      <c r="C8" s="9">
        <f t="shared" ref="C8:C55" si="16">MIN(B8,$C$3-A8-ModulationRisk)</f>
        <v>0</v>
      </c>
      <c r="D8" s="14">
        <f t="shared" ref="D8:D55" si="17">MAX(0,A8-Pole2_limit+ModulationRisk)</f>
        <v>102</v>
      </c>
      <c r="E8" s="8">
        <v>0</v>
      </c>
      <c r="F8" s="15">
        <f t="shared" ref="F8:F37" si="18">MIN(E8,MAX(-$B8,I8-K8),$C8)</f>
        <v>0</v>
      </c>
      <c r="G8" s="1">
        <v>10</v>
      </c>
      <c r="H8" s="1">
        <v>1</v>
      </c>
      <c r="I8" s="5">
        <f>GenUnits!$V$12</f>
        <v>400</v>
      </c>
      <c r="J8" s="5">
        <f>GenUnits!$W$12</f>
        <v>122</v>
      </c>
      <c r="K8" s="14">
        <f>$D8</f>
        <v>102</v>
      </c>
      <c r="L8" s="14">
        <f>MAX(I8,K8)</f>
        <v>400</v>
      </c>
      <c r="M8" s="14">
        <f>J8</f>
        <v>122</v>
      </c>
      <c r="N8" s="34">
        <f>GenUnits!$V$11</f>
        <v>1297</v>
      </c>
      <c r="O8" s="34">
        <f>GenUnits!$W$11</f>
        <v>864</v>
      </c>
      <c r="P8" s="14">
        <f t="shared" ref="P8:P55" si="19">MAX(0,K8-DeMinimis)</f>
        <v>42</v>
      </c>
      <c r="Q8" s="14">
        <f t="shared" ref="Q8:Q55" si="20">IF(AND($H8&gt;=$G8,$F8&lt;=0,$E8&gt;0),0,1)</f>
        <v>1</v>
      </c>
      <c r="S8" s="7">
        <f>$L8-MAX($F8,0)</f>
        <v>400</v>
      </c>
      <c r="T8" s="7">
        <f t="shared" ref="T8:T55" si="21">IF(F8&lt;0,MAX(0,M8-MIN($B8,S8)),MAX($M8-$C8,L8-S8))</f>
        <v>122</v>
      </c>
      <c r="U8" s="7">
        <f>SUM(S8:T8)</f>
        <v>522</v>
      </c>
      <c r="V8" s="7">
        <f t="shared" ref="V8:V55" si="22">$S8*$G8</f>
        <v>4000</v>
      </c>
      <c r="W8" s="7">
        <f t="shared" ref="W8:W55" si="23">$T8*$H8</f>
        <v>122</v>
      </c>
      <c r="X8" s="7">
        <f>SUM(V8:W8)</f>
        <v>4122</v>
      </c>
      <c r="Y8" s="45" t="str">
        <f>$C8&amp;" MW"</f>
        <v>0 MW</v>
      </c>
      <c r="Z8" s="46" t="str">
        <f>$D8&amp;" MW"</f>
        <v>102 MW</v>
      </c>
      <c r="AA8" s="44">
        <f>$E8</f>
        <v>0</v>
      </c>
      <c r="AB8" s="7">
        <f t="shared" ref="AB8:AB55" si="24">$S8-SUM(AC8:AD8)</f>
        <v>400</v>
      </c>
      <c r="AC8" s="15">
        <f t="shared" ref="AC8:AC55" si="25">MAX(0,MIN(B8,J8-T8))</f>
        <v>0</v>
      </c>
      <c r="AD8" s="8">
        <v>0</v>
      </c>
      <c r="AE8" s="15">
        <f t="shared" ref="AE8:AE55" si="26">MAX(0,T8-J8)</f>
        <v>0</v>
      </c>
      <c r="AF8" s="7">
        <f>$T8-SUM(AE8,AG8)</f>
        <v>0</v>
      </c>
      <c r="AG8" s="7">
        <f t="shared" ref="AG8:AG55" si="27">$T8-($L8-$S8)</f>
        <v>122</v>
      </c>
      <c r="AH8" s="7">
        <f>SUM(AB8:AG8)</f>
        <v>522</v>
      </c>
      <c r="AI8" s="7" t="b">
        <f t="shared" ref="AI8:AI55" si="28">$U8=AH8</f>
        <v>1</v>
      </c>
      <c r="AJ8" s="7"/>
      <c r="AK8" s="7"/>
      <c r="AL8" s="7"/>
      <c r="AM8" s="7"/>
      <c r="AN8" s="7"/>
      <c r="AO8" s="7"/>
      <c r="AP8" s="7"/>
      <c r="AQ8" s="7"/>
      <c r="AR8" s="7"/>
      <c r="AS8" s="7"/>
      <c r="AT8" s="7"/>
      <c r="AU8" s="7"/>
      <c r="AV8" s="7">
        <f t="shared" ref="AV8:AV55" si="29">AB8*$G8</f>
        <v>4000</v>
      </c>
      <c r="AW8" s="7">
        <f t="shared" ref="AW8:AW55" si="30">AC8*$G8</f>
        <v>0</v>
      </c>
      <c r="AX8" s="7">
        <f t="shared" ref="AX8:AX55" si="31">AD8*$G8</f>
        <v>0</v>
      </c>
      <c r="AY8" s="30">
        <f t="shared" ref="AY8:AY55" si="32">AE8*$H8</f>
        <v>0</v>
      </c>
      <c r="AZ8" s="30">
        <f t="shared" ref="AZ8:AZ55" si="33">AF8*$H8</f>
        <v>0</v>
      </c>
      <c r="BA8" s="30">
        <f t="shared" ref="BA8:BA55" si="34">AG8*$H8</f>
        <v>122</v>
      </c>
      <c r="BB8" s="7">
        <f>SUM(AV8:BA8)</f>
        <v>4122</v>
      </c>
      <c r="BC8" s="7" t="b">
        <f t="shared" ref="BC8:BC55" si="35">BB8=$X8</f>
        <v>1</v>
      </c>
      <c r="BD8" s="7"/>
      <c r="BE8" s="7"/>
      <c r="BF8" s="7"/>
      <c r="BG8" s="7"/>
      <c r="BH8" s="7"/>
      <c r="BI8" s="7"/>
      <c r="BJ8" s="7"/>
      <c r="BK8" s="7"/>
      <c r="BL8" s="7"/>
      <c r="BM8" s="7"/>
      <c r="BN8" s="7"/>
      <c r="BO8" s="7"/>
      <c r="BP8" s="7">
        <f>MATCH($A8,GenUnits!$AX$43:$AX$48,1)</f>
        <v>2</v>
      </c>
      <c r="BQ8" s="7"/>
      <c r="BR8" s="2">
        <f t="shared" ref="BR8:BR55" ca="1" si="36">IF(Pro_Or_Run="P",N8/SUM($N8:$P8),OFFSET(RunwayAlloc_TL_National,$BP8,LargeThermal_Flag*3+BR$5))</f>
        <v>0.79761451621591573</v>
      </c>
      <c r="BS8" s="2">
        <f t="shared" ref="BS8:BS55" ca="1" si="37">IF(Pro_Or_Run="P",O8/SUM($N8:$P8),OFFSET(RunwayAlloc_TL_National,$BP8,LargeThermal_Flag*3+BS$5))</f>
        <v>0.19400699889136805</v>
      </c>
      <c r="BT8" s="2">
        <f t="shared" ref="BT8:BT55" ca="1" si="38">IF(Pro_Or_Run="P",P8/SUM($N8:$P8),OFFSET(RunwayAlloc_TL_National,$BP8,LargeThermal_Flag*3+BT$5))</f>
        <v>8.3784848927162189E-3</v>
      </c>
      <c r="BU8" s="59">
        <f t="shared" ref="BU8:BU55" ca="1" si="39">IF(Pro_Or_Run="P",N8/SUM($N8,$P8),OFFSET(RunwayAlloc_TL_WithinIsland,$BP8,LargeThermal_Flag*3+BU$5))</f>
        <v>0.98960476718632573</v>
      </c>
      <c r="BV8" s="59">
        <f t="shared" ref="BV8:BV55" ca="1" si="40">IF(Pro_Or_Run="P",O8/SUM($N8,$P8),OFFSET(RunwayAlloc_TL_WithinIsland,$BP8,LargeThermal_Flag*3+BV$5))</f>
        <v>1</v>
      </c>
      <c r="BW8" s="59">
        <f t="shared" ref="BW8:BW55" ca="1" si="41">IF(Pro_Or_Run="P",P8/SUM($N8,$P8),OFFSET(RunwayAlloc_TL_WithinIsland,$BP8,LargeThermal_Flag*3+BW$5))</f>
        <v>1.0395232813674229E-2</v>
      </c>
      <c r="BX8" s="2">
        <f t="shared" ref="BX8:BX55" si="42">C8/U8</f>
        <v>0</v>
      </c>
      <c r="BY8" s="2">
        <f t="shared" ref="BY8:BY55" si="43">SUM(AC8,AG8)/J8</f>
        <v>1</v>
      </c>
      <c r="BZ8" s="60">
        <f t="shared" ref="BZ8:BZ55" ca="1" si="44">IF(Pro_Or_Run="P",N8/SUM($N8:$O8),BR8/SUM($BR8:$BS8))</f>
        <v>0.80435378222871823</v>
      </c>
      <c r="CA8" s="60">
        <f t="shared" ref="CA8:CA55" ca="1" si="45">IF(Pro_Or_Run="P",O8/SUM($N8:$O8),BS8/SUM($BR8:$BS8))</f>
        <v>0.1956462177712818</v>
      </c>
      <c r="CB8" s="52">
        <v>0</v>
      </c>
      <c r="CC8" s="2"/>
      <c r="CD8" s="7"/>
      <c r="CE8" s="7"/>
      <c r="CF8" s="7"/>
      <c r="CG8" s="7">
        <f t="shared" ref="CG8:CG55" si="46">AA8</f>
        <v>0</v>
      </c>
      <c r="CH8" s="9">
        <f>$V8-CJ8</f>
        <v>3874.5332337565346</v>
      </c>
      <c r="CI8" s="7">
        <f>$W8</f>
        <v>122</v>
      </c>
      <c r="CJ8" s="9">
        <f t="shared" ref="CJ8:CJ55" si="47">$V8*$P8/SUM($N8,$P8)</f>
        <v>125.46676624346527</v>
      </c>
      <c r="CK8" s="7">
        <f t="shared" ref="CK8:CK55" ca="1" si="48">$X8*BR8</f>
        <v>3287.7670358420046</v>
      </c>
      <c r="CL8" s="7">
        <f t="shared" ref="CL8:CL55" ca="1" si="49">$X8*BS8</f>
        <v>799.69684943021912</v>
      </c>
      <c r="CM8" s="7">
        <f t="shared" ref="CM8:CM55" ca="1" si="50">$X8*BT8</f>
        <v>34.536114727776251</v>
      </c>
      <c r="CN8" s="7">
        <f t="shared" ref="CN8:CN55" ca="1" si="51">$X8*$BX8*BR8+$X8*(1-$BX8)*CH8/SUM($CH8:$CJ8)</f>
        <v>3874.5332337565346</v>
      </c>
      <c r="CO8" s="7">
        <f t="shared" ref="CO8:CO55" ca="1" si="52">$X8*$BX8*BS8+$X8*(1-$BX8)*CI8/SUM($CH8:$CJ8)</f>
        <v>122</v>
      </c>
      <c r="CP8" s="7">
        <f t="shared" ref="CP8:CP55" ca="1" si="53">$X8*$BX8*BT8+$X8*(1-$BX8)*CJ8/SUM($CH8:$CJ8)</f>
        <v>125.46676624346527</v>
      </c>
      <c r="CQ8" s="7">
        <f t="array" aca="1" ref="CQ8" ca="1">(SUM(IF($AV$5:$BA$5=CQ$5,$AV8:$BA8))*BU8+SUM(IF($AV$5:$BA$5="B",$AV8:$BA8))*BR8)*$Q8</f>
        <v>3958.4190687453029</v>
      </c>
      <c r="CR8" s="7">
        <f t="array" aca="1" ref="CR8" ca="1">(SUM(IF($AV$5:$BA$5=CR$5,$AV8:$BA8))*BV8+SUM(IF($AV$5:$BA$5="B",$AV8:$BA8))*BS8)*$Q8</f>
        <v>122</v>
      </c>
      <c r="CS8" s="7">
        <f t="array" aca="1" ref="CS8" ca="1">(SUM(IF($AV$5:$BA$5=CS$5,$AV8:$BA8))*BW8+SUM(IF($AV$5:$BA$5="B",$AV8:$BA8))*BT8)*$Q8</f>
        <v>41.580931254696921</v>
      </c>
      <c r="CT8" s="7">
        <f t="array" aca="1" ref="CT8" ca="1">(SUM(IF($BF$5:$BL$5=CT$5,IF($BF$4:$BL$4="B",$BF8:$BL8)))*BU8+SUM(IF($BF$5:$BL$5=CT$5,IF($BF$4:$BL$4=CT$4,$BF8:$BL8)))+SUM(IF($BF$5:$BL$5="B",$BF8:$BL8))*BZ8)*$Q8</f>
        <v>0</v>
      </c>
      <c r="CU8" s="7">
        <f t="array" aca="1" ref="CU8" ca="1">(SUM(IF($BF$5:$BL$5=CU$5,IF($BF$4:$BL$4="B",$BF8:$BL8)))*BV8+SUM(IF($BF$5:$BL$5=CU$5,IF($BF$4:$BL$4=CU$4,$BF8:$BL8)))+SUM(IF($BF$5:$BL$5="B",$BF8:$BL8))*CA8)*$Q8</f>
        <v>0</v>
      </c>
      <c r="CV8" s="7">
        <f t="array" aca="1" ref="CV8" ca="1">(SUM(IF($BF$5:$BL$5=CV$5,IF($BF$4:$BL$4="B",$BF8:$BL8)))*BW8+SUM(IF($BF$5:$BL$5=CV$5,IF($BF$4:$BL$4=CV$4,$BF8:$BL8)))+SUM(IF($BF$5:$BL$5="B",$BF8:$BL8))*CB8)*$Q8</f>
        <v>0</v>
      </c>
      <c r="CW8" s="7"/>
      <c r="CX8" s="9">
        <f>$V8</f>
        <v>4000</v>
      </c>
      <c r="CY8" s="9">
        <f>-CH8</f>
        <v>-3874.5332337565346</v>
      </c>
      <c r="CZ8" s="9">
        <f>SUM(CX8:CY8)</f>
        <v>125.46676624346537</v>
      </c>
      <c r="DA8" s="9">
        <f>$W8</f>
        <v>122</v>
      </c>
      <c r="DB8" s="9">
        <f>-SUM(CI8:CJ8)</f>
        <v>-247.46676624346526</v>
      </c>
      <c r="DC8" s="9">
        <f>SUM(DA8:DB8)</f>
        <v>-125.46676624346526</v>
      </c>
      <c r="DD8" s="9">
        <f>$V8</f>
        <v>4000</v>
      </c>
      <c r="DE8" s="9">
        <f t="shared" ref="DE8:DE55" ca="1" si="54">-$CK8</f>
        <v>-3287.7670358420046</v>
      </c>
      <c r="DF8" s="9">
        <f ca="1">SUM(DD8:DE8)</f>
        <v>712.23296415799541</v>
      </c>
      <c r="DG8" s="9">
        <f>$W8</f>
        <v>122</v>
      </c>
      <c r="DH8" s="9">
        <f ca="1">-SUM(CL8:CM8)</f>
        <v>-834.23296415799541</v>
      </c>
      <c r="DI8" s="9">
        <f ca="1">SUM(DG8:DH8)</f>
        <v>-712.23296415799541</v>
      </c>
      <c r="DJ8" s="9">
        <f>$V8</f>
        <v>4000</v>
      </c>
      <c r="DK8" s="9">
        <f t="shared" ref="DK8:DK55" ca="1" si="55">-$CN8</f>
        <v>-3874.5332337565346</v>
      </c>
      <c r="DL8" s="9">
        <f ca="1">SUM(DJ8:DK8)</f>
        <v>125.46676624346537</v>
      </c>
      <c r="DM8" s="9">
        <f>$W8</f>
        <v>122</v>
      </c>
      <c r="DN8" s="9">
        <f t="shared" ref="DN8:DN55" ca="1" si="56">-SUM($CO8:$CP8)</f>
        <v>-247.46676624346526</v>
      </c>
      <c r="DO8" s="9">
        <f ca="1">SUM(DM8:DN8)</f>
        <v>-125.46676624346526</v>
      </c>
      <c r="DP8" s="9">
        <f>$V8</f>
        <v>4000</v>
      </c>
      <c r="DQ8" s="9">
        <f t="shared" ref="DQ8:DQ55" ca="1" si="57">-$CQ8</f>
        <v>-3958.4190687453029</v>
      </c>
      <c r="DR8" s="9">
        <f ca="1">SUM(DP8:DQ8)</f>
        <v>41.580931254697134</v>
      </c>
      <c r="DS8" s="9">
        <f>$W8</f>
        <v>122</v>
      </c>
      <c r="DT8" s="9">
        <f t="shared" ref="DT8:DT55" ca="1" si="58">-SUM($CR8:$CS8)</f>
        <v>-163.58093125469691</v>
      </c>
      <c r="DU8" s="9">
        <f ca="1">SUM(DS8:DT8)</f>
        <v>-41.580931254696907</v>
      </c>
    </row>
    <row r="9" spans="1:125" ht="14.45" x14ac:dyDescent="0.35">
      <c r="A9" s="14">
        <f>A8</f>
        <v>600</v>
      </c>
      <c r="B9" s="14">
        <f t="shared" ref="B9:B19" si="59">B8</f>
        <v>0</v>
      </c>
      <c r="C9" s="9">
        <f t="shared" si="16"/>
        <v>0</v>
      </c>
      <c r="D9" s="14">
        <f t="shared" si="17"/>
        <v>102</v>
      </c>
      <c r="E9" s="8">
        <v>10</v>
      </c>
      <c r="F9" s="15">
        <f t="shared" si="18"/>
        <v>0</v>
      </c>
      <c r="G9">
        <f>G$8</f>
        <v>10</v>
      </c>
      <c r="H9">
        <f>H$8</f>
        <v>1</v>
      </c>
      <c r="I9" s="5">
        <f>GenUnits!$V$12</f>
        <v>400</v>
      </c>
      <c r="J9" s="5">
        <f>GenUnits!$W$12</f>
        <v>122</v>
      </c>
      <c r="K9" s="14">
        <f t="shared" ref="K9:K63" si="60">$D9</f>
        <v>102</v>
      </c>
      <c r="L9" s="14">
        <f t="shared" ref="L9:L19" si="61">MAX(I9,K9)</f>
        <v>400</v>
      </c>
      <c r="M9" s="14">
        <f t="shared" ref="M9:M19" si="62">J9</f>
        <v>122</v>
      </c>
      <c r="N9" s="34">
        <f>GenUnits!$V$11</f>
        <v>1297</v>
      </c>
      <c r="O9" s="34">
        <f>GenUnits!$W$11</f>
        <v>864</v>
      </c>
      <c r="P9" s="14">
        <f t="shared" si="19"/>
        <v>42</v>
      </c>
      <c r="Q9" s="14">
        <f t="shared" si="20"/>
        <v>1</v>
      </c>
      <c r="S9" s="7">
        <f t="shared" ref="S9:S63" si="63">$L9-MAX($F9,0)</f>
        <v>400</v>
      </c>
      <c r="T9" s="7">
        <f t="shared" si="21"/>
        <v>122</v>
      </c>
      <c r="U9" s="7">
        <f t="shared" ref="U9:U12" si="64">SUM(S9:T9)</f>
        <v>522</v>
      </c>
      <c r="V9" s="7">
        <f t="shared" si="22"/>
        <v>4000</v>
      </c>
      <c r="W9" s="7">
        <f t="shared" si="23"/>
        <v>122</v>
      </c>
      <c r="X9" s="7">
        <f t="shared" ref="X9:X12" si="65">SUM(V9:W9)</f>
        <v>4122</v>
      </c>
      <c r="Y9" s="45"/>
      <c r="Z9" s="46"/>
      <c r="AA9" s="44">
        <f t="shared" ref="AA9:AA55" si="66">$E9</f>
        <v>10</v>
      </c>
      <c r="AB9" s="7">
        <f t="shared" si="24"/>
        <v>400</v>
      </c>
      <c r="AC9" s="15">
        <f t="shared" si="25"/>
        <v>0</v>
      </c>
      <c r="AD9" s="8">
        <v>0</v>
      </c>
      <c r="AE9" s="15">
        <f t="shared" si="26"/>
        <v>0</v>
      </c>
      <c r="AF9" s="7">
        <f t="shared" ref="AF9:AF55" si="67">$T9-SUM(AE9,AG9)</f>
        <v>0</v>
      </c>
      <c r="AG9" s="7">
        <f t="shared" si="27"/>
        <v>122</v>
      </c>
      <c r="AH9" s="7">
        <f t="shared" ref="AH9:AH12" si="68">SUM(AB9:AG9)</f>
        <v>522</v>
      </c>
      <c r="AI9" s="7" t="b">
        <f t="shared" si="28"/>
        <v>1</v>
      </c>
      <c r="AJ9" s="7"/>
      <c r="AK9" s="7"/>
      <c r="AL9" s="7"/>
      <c r="AM9" s="7"/>
      <c r="AN9" s="7"/>
      <c r="AO9" s="7"/>
      <c r="AP9" s="7"/>
      <c r="AQ9" s="7"/>
      <c r="AR9" s="7"/>
      <c r="AS9" s="7"/>
      <c r="AT9" s="7"/>
      <c r="AU9" s="7"/>
      <c r="AV9" s="7">
        <f t="shared" si="29"/>
        <v>4000</v>
      </c>
      <c r="AW9" s="7">
        <f t="shared" si="30"/>
        <v>0</v>
      </c>
      <c r="AX9" s="7">
        <f t="shared" si="31"/>
        <v>0</v>
      </c>
      <c r="AY9" s="30">
        <f t="shared" si="32"/>
        <v>0</v>
      </c>
      <c r="AZ9" s="30">
        <f t="shared" si="33"/>
        <v>0</v>
      </c>
      <c r="BA9" s="30">
        <f t="shared" si="34"/>
        <v>122</v>
      </c>
      <c r="BB9" s="7">
        <f t="shared" ref="BB9:BB12" si="69">SUM(AV9:BA9)</f>
        <v>4122</v>
      </c>
      <c r="BC9" s="7" t="b">
        <f t="shared" si="35"/>
        <v>1</v>
      </c>
      <c r="BD9" s="7"/>
      <c r="BE9" s="7"/>
      <c r="BF9" s="7"/>
      <c r="BG9" s="7"/>
      <c r="BH9" s="7"/>
      <c r="BI9" s="7"/>
      <c r="BJ9" s="7"/>
      <c r="BK9" s="7"/>
      <c r="BL9" s="7"/>
      <c r="BM9" s="7"/>
      <c r="BN9" s="7"/>
      <c r="BO9" s="7"/>
      <c r="BP9" s="7">
        <f>MATCH($A9,GenUnits!$AX$43:$AX$48,1)</f>
        <v>2</v>
      </c>
      <c r="BQ9" s="7"/>
      <c r="BR9" s="2">
        <f t="shared" ca="1" si="36"/>
        <v>0.79761451621591573</v>
      </c>
      <c r="BS9" s="2">
        <f t="shared" ca="1" si="37"/>
        <v>0.19400699889136805</v>
      </c>
      <c r="BT9" s="2">
        <f t="shared" ca="1" si="38"/>
        <v>8.3784848927162189E-3</v>
      </c>
      <c r="BU9" s="59">
        <f t="shared" ca="1" si="39"/>
        <v>0.98960476718632573</v>
      </c>
      <c r="BV9" s="59">
        <f t="shared" ca="1" si="40"/>
        <v>1</v>
      </c>
      <c r="BW9" s="59">
        <f t="shared" ca="1" si="41"/>
        <v>1.0395232813674229E-2</v>
      </c>
      <c r="BX9" s="2">
        <f t="shared" si="42"/>
        <v>0</v>
      </c>
      <c r="BY9" s="2">
        <f t="shared" si="43"/>
        <v>1</v>
      </c>
      <c r="BZ9" s="60">
        <f t="shared" ca="1" si="44"/>
        <v>0.80435378222871823</v>
      </c>
      <c r="CA9" s="60">
        <f t="shared" ca="1" si="45"/>
        <v>0.1956462177712818</v>
      </c>
      <c r="CB9" s="52">
        <v>0</v>
      </c>
      <c r="CC9" s="2"/>
      <c r="CD9" s="7"/>
      <c r="CE9" s="7"/>
      <c r="CF9" s="7"/>
      <c r="CG9" s="7">
        <f t="shared" si="46"/>
        <v>10</v>
      </c>
      <c r="CH9" s="9">
        <f t="shared" ref="CH9:CH12" si="70">$V9-CJ9</f>
        <v>3874.5332337565346</v>
      </c>
      <c r="CI9" s="7">
        <f t="shared" ref="CI9:CI63" si="71">$W9</f>
        <v>122</v>
      </c>
      <c r="CJ9" s="9">
        <f t="shared" si="47"/>
        <v>125.46676624346527</v>
      </c>
      <c r="CK9" s="7">
        <f t="shared" ca="1" si="48"/>
        <v>3287.7670358420046</v>
      </c>
      <c r="CL9" s="7">
        <f t="shared" ca="1" si="49"/>
        <v>799.69684943021912</v>
      </c>
      <c r="CM9" s="7">
        <f t="shared" ca="1" si="50"/>
        <v>34.536114727776251</v>
      </c>
      <c r="CN9" s="7">
        <f t="shared" ca="1" si="51"/>
        <v>3874.5332337565346</v>
      </c>
      <c r="CO9" s="7">
        <f t="shared" ca="1" si="52"/>
        <v>122</v>
      </c>
      <c r="CP9" s="7">
        <f t="shared" ca="1" si="53"/>
        <v>125.46676624346527</v>
      </c>
      <c r="CQ9" s="7">
        <f t="array" aca="1" ref="CQ9" ca="1">(SUM(IF($AV$5:$BA$5=CQ$5,$AV9:$BA9))*BU9+SUM(IF($AV$5:$BA$5="B",$AV9:$BA9))*BR9)*$Q9</f>
        <v>3958.4190687453029</v>
      </c>
      <c r="CR9" s="7">
        <f t="array" aca="1" ref="CR9" ca="1">(SUM(IF($AV$5:$BA$5=CR$5,$AV9:$BA9))*BV9+SUM(IF($AV$5:$BA$5="B",$AV9:$BA9))*BS9)*$Q9</f>
        <v>122</v>
      </c>
      <c r="CS9" s="7">
        <f t="array" aca="1" ref="CS9" ca="1">(SUM(IF($AV$5:$BA$5=CS$5,$AV9:$BA9))*BW9+SUM(IF($AV$5:$BA$5="B",$AV9:$BA9))*BT9)*$Q9</f>
        <v>41.580931254696921</v>
      </c>
      <c r="CT9" s="7">
        <f t="array" aca="1" ref="CT9" ca="1">(SUM(IF($BF$5:$BL$5=CT$5,IF($BF$4:$BL$4="B",$BF9:$BL9)))*BU9+SUM(IF($BF$5:$BL$5=CT$5,IF($BF$4:$BL$4=CT$4,$BF9:$BL9)))+SUM(IF($BF$5:$BL$5="B",$BF9:$BL9))*BZ9)*$Q9</f>
        <v>0</v>
      </c>
      <c r="CU9" s="7">
        <f t="array" aca="1" ref="CU9" ca="1">(SUM(IF($BF$5:$BL$5=CU$5,IF($BF$4:$BL$4="B",$BF9:$BL9)))*BV9+SUM(IF($BF$5:$BL$5=CU$5,IF($BF$4:$BL$4=CU$4,$BF9:$BL9)))+SUM(IF($BF$5:$BL$5="B",$BF9:$BL9))*CA9)*$Q9</f>
        <v>0</v>
      </c>
      <c r="CV9" s="7">
        <f t="array" aca="1" ref="CV9" ca="1">(SUM(IF($BF$5:$BL$5=CV$5,IF($BF$4:$BL$4="B",$BF9:$BL9)))*BW9+SUM(IF($BF$5:$BL$5=CV$5,IF($BF$4:$BL$4=CV$4,$BF9:$BL9)))+SUM(IF($BF$5:$BL$5="B",$BF9:$BL9))*CB9)*$Q9</f>
        <v>0</v>
      </c>
      <c r="CW9" s="7"/>
      <c r="CX9" s="9">
        <f t="shared" ref="CX9:CX63" si="72">$V9</f>
        <v>4000</v>
      </c>
      <c r="CY9" s="9">
        <f t="shared" ref="CY9:CY12" si="73">-CH9</f>
        <v>-3874.5332337565346</v>
      </c>
      <c r="CZ9" s="9">
        <f t="shared" ref="CZ9:CZ12" si="74">SUM(CX9:CY9)</f>
        <v>125.46676624346537</v>
      </c>
      <c r="DA9" s="9">
        <f t="shared" ref="DA9:DA63" si="75">$W9</f>
        <v>122</v>
      </c>
      <c r="DB9" s="9">
        <f t="shared" ref="DB9:DB12" si="76">-SUM(CI9:CJ9)</f>
        <v>-247.46676624346526</v>
      </c>
      <c r="DC9" s="9">
        <f t="shared" ref="DC9:DC12" si="77">SUM(DA9:DB9)</f>
        <v>-125.46676624346526</v>
      </c>
      <c r="DD9" s="9">
        <f t="shared" ref="DD9:DD63" si="78">$V9</f>
        <v>4000</v>
      </c>
      <c r="DE9" s="9">
        <f t="shared" ca="1" si="54"/>
        <v>-3287.7670358420046</v>
      </c>
      <c r="DF9" s="9">
        <f t="shared" ref="DF9:DF12" ca="1" si="79">SUM(DD9:DE9)</f>
        <v>712.23296415799541</v>
      </c>
      <c r="DG9" s="9">
        <f t="shared" ref="DG9:DG63" si="80">$W9</f>
        <v>122</v>
      </c>
      <c r="DH9" s="9">
        <f t="shared" ref="DH9:DH12" ca="1" si="81">-SUM(CL9:CM9)</f>
        <v>-834.23296415799541</v>
      </c>
      <c r="DI9" s="9">
        <f t="shared" ref="DI9:DI12" ca="1" si="82">SUM(DG9:DH9)</f>
        <v>-712.23296415799541</v>
      </c>
      <c r="DJ9" s="9">
        <f t="shared" ref="DJ9:DJ63" si="83">$V9</f>
        <v>4000</v>
      </c>
      <c r="DK9" s="9">
        <f t="shared" ca="1" si="55"/>
        <v>-3874.5332337565346</v>
      </c>
      <c r="DL9" s="9">
        <f t="shared" ref="DL9:DL12" ca="1" si="84">SUM(DJ9:DK9)</f>
        <v>125.46676624346537</v>
      </c>
      <c r="DM9" s="9">
        <f t="shared" ref="DM9:DM63" si="85">$W9</f>
        <v>122</v>
      </c>
      <c r="DN9" s="9">
        <f t="shared" ca="1" si="56"/>
        <v>-247.46676624346526</v>
      </c>
      <c r="DO9" s="9">
        <f t="shared" ref="DO9:DO12" ca="1" si="86">SUM(DM9:DN9)</f>
        <v>-125.46676624346526</v>
      </c>
      <c r="DP9" s="9">
        <f t="shared" ref="DP9:DP63" si="87">$V9</f>
        <v>4000</v>
      </c>
      <c r="DQ9" s="9">
        <f t="shared" ca="1" si="57"/>
        <v>-3958.4190687453029</v>
      </c>
      <c r="DR9" s="9">
        <f t="shared" ref="DR9:DR12" ca="1" si="88">SUM(DP9:DQ9)</f>
        <v>41.580931254697134</v>
      </c>
      <c r="DS9" s="9">
        <f t="shared" ref="DS9:DS63" si="89">$W9</f>
        <v>122</v>
      </c>
      <c r="DT9" s="9">
        <f t="shared" ca="1" si="58"/>
        <v>-163.58093125469691</v>
      </c>
      <c r="DU9" s="9">
        <f t="shared" ref="DU9:DU12" ca="1" si="90">SUM(DS9:DT9)</f>
        <v>-41.580931254696907</v>
      </c>
    </row>
    <row r="10" spans="1:125" ht="14.45" x14ac:dyDescent="0.35">
      <c r="A10" s="14">
        <f>A9</f>
        <v>600</v>
      </c>
      <c r="B10" s="14">
        <f t="shared" si="59"/>
        <v>0</v>
      </c>
      <c r="C10" s="9">
        <f t="shared" si="16"/>
        <v>0</v>
      </c>
      <c r="D10" s="14">
        <f t="shared" si="17"/>
        <v>102</v>
      </c>
      <c r="E10" s="8">
        <v>100</v>
      </c>
      <c r="F10" s="15">
        <f t="shared" si="18"/>
        <v>0</v>
      </c>
      <c r="G10">
        <f t="shared" ref="G10:H55" si="91">G$8</f>
        <v>10</v>
      </c>
      <c r="H10">
        <f t="shared" si="91"/>
        <v>1</v>
      </c>
      <c r="I10" s="5">
        <f>GenUnits!$V$12</f>
        <v>400</v>
      </c>
      <c r="J10" s="5">
        <f>GenUnits!$W$12</f>
        <v>122</v>
      </c>
      <c r="K10" s="14">
        <f t="shared" si="60"/>
        <v>102</v>
      </c>
      <c r="L10" s="14">
        <f t="shared" si="61"/>
        <v>400</v>
      </c>
      <c r="M10" s="14">
        <f t="shared" si="62"/>
        <v>122</v>
      </c>
      <c r="N10" s="34">
        <f>GenUnits!$V$11</f>
        <v>1297</v>
      </c>
      <c r="O10" s="34">
        <f>GenUnits!$W$11</f>
        <v>864</v>
      </c>
      <c r="P10" s="14">
        <f t="shared" si="19"/>
        <v>42</v>
      </c>
      <c r="Q10" s="14">
        <f t="shared" si="20"/>
        <v>1</v>
      </c>
      <c r="S10" s="7">
        <f t="shared" si="63"/>
        <v>400</v>
      </c>
      <c r="T10" s="7">
        <f t="shared" si="21"/>
        <v>122</v>
      </c>
      <c r="U10" s="7">
        <f t="shared" si="64"/>
        <v>522</v>
      </c>
      <c r="V10" s="7">
        <f t="shared" si="22"/>
        <v>4000</v>
      </c>
      <c r="W10" s="7">
        <f t="shared" si="23"/>
        <v>122</v>
      </c>
      <c r="X10" s="7">
        <f t="shared" si="65"/>
        <v>4122</v>
      </c>
      <c r="Y10" s="45"/>
      <c r="Z10" s="46"/>
      <c r="AA10" s="44">
        <f t="shared" si="66"/>
        <v>100</v>
      </c>
      <c r="AB10" s="7">
        <f t="shared" si="24"/>
        <v>400</v>
      </c>
      <c r="AC10" s="15">
        <f t="shared" si="25"/>
        <v>0</v>
      </c>
      <c r="AD10" s="8">
        <v>0</v>
      </c>
      <c r="AE10" s="15">
        <f t="shared" si="26"/>
        <v>0</v>
      </c>
      <c r="AF10" s="7">
        <f t="shared" si="67"/>
        <v>0</v>
      </c>
      <c r="AG10" s="7">
        <f t="shared" si="27"/>
        <v>122</v>
      </c>
      <c r="AH10" s="7">
        <f t="shared" si="68"/>
        <v>522</v>
      </c>
      <c r="AI10" s="7" t="b">
        <f t="shared" si="28"/>
        <v>1</v>
      </c>
      <c r="AJ10" s="7"/>
      <c r="AK10" s="7"/>
      <c r="AL10" s="7"/>
      <c r="AM10" s="7"/>
      <c r="AN10" s="7"/>
      <c r="AO10" s="7"/>
      <c r="AP10" s="7"/>
      <c r="AQ10" s="7"/>
      <c r="AR10" s="7"/>
      <c r="AS10" s="7"/>
      <c r="AT10" s="7"/>
      <c r="AU10" s="7"/>
      <c r="AV10" s="7">
        <f t="shared" si="29"/>
        <v>4000</v>
      </c>
      <c r="AW10" s="7">
        <f t="shared" si="30"/>
        <v>0</v>
      </c>
      <c r="AX10" s="7">
        <f t="shared" si="31"/>
        <v>0</v>
      </c>
      <c r="AY10" s="30">
        <f t="shared" si="32"/>
        <v>0</v>
      </c>
      <c r="AZ10" s="30">
        <f t="shared" si="33"/>
        <v>0</v>
      </c>
      <c r="BA10" s="30">
        <f t="shared" si="34"/>
        <v>122</v>
      </c>
      <c r="BB10" s="7">
        <f t="shared" si="69"/>
        <v>4122</v>
      </c>
      <c r="BC10" s="7" t="b">
        <f t="shared" si="35"/>
        <v>1</v>
      </c>
      <c r="BD10" s="7"/>
      <c r="BE10" s="7"/>
      <c r="BF10" s="7"/>
      <c r="BG10" s="7"/>
      <c r="BH10" s="7"/>
      <c r="BI10" s="7"/>
      <c r="BJ10" s="7"/>
      <c r="BK10" s="7"/>
      <c r="BL10" s="7"/>
      <c r="BM10" s="7"/>
      <c r="BN10" s="7"/>
      <c r="BO10" s="7"/>
      <c r="BP10" s="7">
        <f>MATCH($A10,GenUnits!$AX$43:$AX$48,1)</f>
        <v>2</v>
      </c>
      <c r="BQ10" s="7"/>
      <c r="BR10" s="2">
        <f t="shared" ca="1" si="36"/>
        <v>0.79761451621591573</v>
      </c>
      <c r="BS10" s="2">
        <f t="shared" ca="1" si="37"/>
        <v>0.19400699889136805</v>
      </c>
      <c r="BT10" s="2">
        <f t="shared" ca="1" si="38"/>
        <v>8.3784848927162189E-3</v>
      </c>
      <c r="BU10" s="59">
        <f t="shared" ca="1" si="39"/>
        <v>0.98960476718632573</v>
      </c>
      <c r="BV10" s="59">
        <f t="shared" ca="1" si="40"/>
        <v>1</v>
      </c>
      <c r="BW10" s="59">
        <f t="shared" ca="1" si="41"/>
        <v>1.0395232813674229E-2</v>
      </c>
      <c r="BX10" s="2">
        <f t="shared" si="42"/>
        <v>0</v>
      </c>
      <c r="BY10" s="2">
        <f t="shared" si="43"/>
        <v>1</v>
      </c>
      <c r="BZ10" s="60">
        <f t="shared" ca="1" si="44"/>
        <v>0.80435378222871823</v>
      </c>
      <c r="CA10" s="60">
        <f t="shared" ca="1" si="45"/>
        <v>0.1956462177712818</v>
      </c>
      <c r="CB10" s="52">
        <v>0</v>
      </c>
      <c r="CC10" s="2"/>
      <c r="CD10" s="7"/>
      <c r="CE10" s="7"/>
      <c r="CF10" s="7"/>
      <c r="CG10" s="7">
        <f t="shared" si="46"/>
        <v>100</v>
      </c>
      <c r="CH10" s="9">
        <f t="shared" si="70"/>
        <v>3874.5332337565346</v>
      </c>
      <c r="CI10" s="7">
        <f t="shared" si="71"/>
        <v>122</v>
      </c>
      <c r="CJ10" s="9">
        <f t="shared" si="47"/>
        <v>125.46676624346527</v>
      </c>
      <c r="CK10" s="7">
        <f t="shared" ca="1" si="48"/>
        <v>3287.7670358420046</v>
      </c>
      <c r="CL10" s="7">
        <f t="shared" ca="1" si="49"/>
        <v>799.69684943021912</v>
      </c>
      <c r="CM10" s="7">
        <f t="shared" ca="1" si="50"/>
        <v>34.536114727776251</v>
      </c>
      <c r="CN10" s="7">
        <f t="shared" ca="1" si="51"/>
        <v>3874.5332337565346</v>
      </c>
      <c r="CO10" s="7">
        <f t="shared" ca="1" si="52"/>
        <v>122</v>
      </c>
      <c r="CP10" s="7">
        <f t="shared" ca="1" si="53"/>
        <v>125.46676624346527</v>
      </c>
      <c r="CQ10" s="7">
        <f t="array" aca="1" ref="CQ10" ca="1">(SUM(IF($AV$5:$BA$5=CQ$5,$AV10:$BA10))*BU10+SUM(IF($AV$5:$BA$5="B",$AV10:$BA10))*BR10)*$Q10</f>
        <v>3958.4190687453029</v>
      </c>
      <c r="CR10" s="7">
        <f t="array" aca="1" ref="CR10" ca="1">(SUM(IF($AV$5:$BA$5=CR$5,$AV10:$BA10))*BV10+SUM(IF($AV$5:$BA$5="B",$AV10:$BA10))*BS10)*$Q10</f>
        <v>122</v>
      </c>
      <c r="CS10" s="7">
        <f t="array" aca="1" ref="CS10" ca="1">(SUM(IF($AV$5:$BA$5=CS$5,$AV10:$BA10))*BW10+SUM(IF($AV$5:$BA$5="B",$AV10:$BA10))*BT10)*$Q10</f>
        <v>41.580931254696921</v>
      </c>
      <c r="CT10" s="7">
        <f t="array" aca="1" ref="CT10" ca="1">(SUM(IF($BF$5:$BL$5=CT$5,IF($BF$4:$BL$4="B",$BF10:$BL10)))*BU10+SUM(IF($BF$5:$BL$5=CT$5,IF($BF$4:$BL$4=CT$4,$BF10:$BL10)))+SUM(IF($BF$5:$BL$5="B",$BF10:$BL10))*BZ10)*$Q10</f>
        <v>0</v>
      </c>
      <c r="CU10" s="7">
        <f t="array" aca="1" ref="CU10" ca="1">(SUM(IF($BF$5:$BL$5=CU$5,IF($BF$4:$BL$4="B",$BF10:$BL10)))*BV10+SUM(IF($BF$5:$BL$5=CU$5,IF($BF$4:$BL$4=CU$4,$BF10:$BL10)))+SUM(IF($BF$5:$BL$5="B",$BF10:$BL10))*CA10)*$Q10</f>
        <v>0</v>
      </c>
      <c r="CV10" s="7">
        <f t="array" aca="1" ref="CV10" ca="1">(SUM(IF($BF$5:$BL$5=CV$5,IF($BF$4:$BL$4="B",$BF10:$BL10)))*BW10+SUM(IF($BF$5:$BL$5=CV$5,IF($BF$4:$BL$4=CV$4,$BF10:$BL10)))+SUM(IF($BF$5:$BL$5="B",$BF10:$BL10))*CB10)*$Q10</f>
        <v>0</v>
      </c>
      <c r="CW10" s="7"/>
      <c r="CX10" s="9">
        <f t="shared" si="72"/>
        <v>4000</v>
      </c>
      <c r="CY10" s="9">
        <f t="shared" si="73"/>
        <v>-3874.5332337565346</v>
      </c>
      <c r="CZ10" s="9">
        <f t="shared" si="74"/>
        <v>125.46676624346537</v>
      </c>
      <c r="DA10" s="9">
        <f t="shared" si="75"/>
        <v>122</v>
      </c>
      <c r="DB10" s="9">
        <f t="shared" si="76"/>
        <v>-247.46676624346526</v>
      </c>
      <c r="DC10" s="9">
        <f t="shared" si="77"/>
        <v>-125.46676624346526</v>
      </c>
      <c r="DD10" s="9">
        <f t="shared" si="78"/>
        <v>4000</v>
      </c>
      <c r="DE10" s="9">
        <f t="shared" ca="1" si="54"/>
        <v>-3287.7670358420046</v>
      </c>
      <c r="DF10" s="9">
        <f t="shared" ca="1" si="79"/>
        <v>712.23296415799541</v>
      </c>
      <c r="DG10" s="9">
        <f t="shared" si="80"/>
        <v>122</v>
      </c>
      <c r="DH10" s="9">
        <f t="shared" ca="1" si="81"/>
        <v>-834.23296415799541</v>
      </c>
      <c r="DI10" s="9">
        <f t="shared" ca="1" si="82"/>
        <v>-712.23296415799541</v>
      </c>
      <c r="DJ10" s="9">
        <f t="shared" si="83"/>
        <v>4000</v>
      </c>
      <c r="DK10" s="9">
        <f t="shared" ca="1" si="55"/>
        <v>-3874.5332337565346</v>
      </c>
      <c r="DL10" s="9">
        <f t="shared" ca="1" si="84"/>
        <v>125.46676624346537</v>
      </c>
      <c r="DM10" s="9">
        <f t="shared" si="85"/>
        <v>122</v>
      </c>
      <c r="DN10" s="9">
        <f t="shared" ca="1" si="56"/>
        <v>-247.46676624346526</v>
      </c>
      <c r="DO10" s="9">
        <f t="shared" ca="1" si="86"/>
        <v>-125.46676624346526</v>
      </c>
      <c r="DP10" s="9">
        <f t="shared" si="87"/>
        <v>4000</v>
      </c>
      <c r="DQ10" s="9">
        <f t="shared" ca="1" si="57"/>
        <v>-3958.4190687453029</v>
      </c>
      <c r="DR10" s="9">
        <f t="shared" ca="1" si="88"/>
        <v>41.580931254697134</v>
      </c>
      <c r="DS10" s="9">
        <f t="shared" si="89"/>
        <v>122</v>
      </c>
      <c r="DT10" s="9">
        <f t="shared" ca="1" si="58"/>
        <v>-163.58093125469691</v>
      </c>
      <c r="DU10" s="9">
        <f t="shared" ca="1" si="90"/>
        <v>-41.580931254696907</v>
      </c>
    </row>
    <row r="11" spans="1:125" ht="14.45" x14ac:dyDescent="0.35">
      <c r="A11" s="14">
        <f>A10</f>
        <v>600</v>
      </c>
      <c r="B11" s="14">
        <f t="shared" si="59"/>
        <v>0</v>
      </c>
      <c r="C11" s="9">
        <f t="shared" si="16"/>
        <v>0</v>
      </c>
      <c r="D11" s="14">
        <f t="shared" si="17"/>
        <v>102</v>
      </c>
      <c r="E11" s="55">
        <f>$C$1</f>
        <v>220</v>
      </c>
      <c r="F11" s="15">
        <f t="shared" si="18"/>
        <v>0</v>
      </c>
      <c r="G11">
        <f t="shared" si="91"/>
        <v>10</v>
      </c>
      <c r="H11">
        <f t="shared" si="91"/>
        <v>1</v>
      </c>
      <c r="I11" s="5">
        <f>GenUnits!$V$12</f>
        <v>400</v>
      </c>
      <c r="J11" s="5">
        <f>GenUnits!$W$12</f>
        <v>122</v>
      </c>
      <c r="K11" s="14">
        <f t="shared" si="60"/>
        <v>102</v>
      </c>
      <c r="L11" s="14">
        <f t="shared" si="61"/>
        <v>400</v>
      </c>
      <c r="M11" s="14">
        <f t="shared" si="62"/>
        <v>122</v>
      </c>
      <c r="N11" s="34">
        <f>GenUnits!$V$11</f>
        <v>1297</v>
      </c>
      <c r="O11" s="34">
        <f>GenUnits!$W$11</f>
        <v>864</v>
      </c>
      <c r="P11" s="14">
        <f t="shared" si="19"/>
        <v>42</v>
      </c>
      <c r="Q11" s="14">
        <f t="shared" si="20"/>
        <v>1</v>
      </c>
      <c r="S11" s="7">
        <f t="shared" si="63"/>
        <v>400</v>
      </c>
      <c r="T11" s="7">
        <f t="shared" si="21"/>
        <v>122</v>
      </c>
      <c r="U11" s="7">
        <f t="shared" si="64"/>
        <v>522</v>
      </c>
      <c r="V11" s="7">
        <f t="shared" si="22"/>
        <v>4000</v>
      </c>
      <c r="W11" s="7">
        <f t="shared" si="23"/>
        <v>122</v>
      </c>
      <c r="X11" s="7">
        <f t="shared" si="65"/>
        <v>4122</v>
      </c>
      <c r="Y11" s="45"/>
      <c r="Z11" s="46"/>
      <c r="AA11" s="44">
        <f t="shared" si="66"/>
        <v>220</v>
      </c>
      <c r="AB11" s="7">
        <f t="shared" si="24"/>
        <v>400</v>
      </c>
      <c r="AC11" s="15">
        <f t="shared" si="25"/>
        <v>0</v>
      </c>
      <c r="AD11" s="8">
        <v>0</v>
      </c>
      <c r="AE11" s="15">
        <f t="shared" si="26"/>
        <v>0</v>
      </c>
      <c r="AF11" s="7">
        <f t="shared" si="67"/>
        <v>0</v>
      </c>
      <c r="AG11" s="7">
        <f t="shared" si="27"/>
        <v>122</v>
      </c>
      <c r="AH11" s="7">
        <f t="shared" si="68"/>
        <v>522</v>
      </c>
      <c r="AI11" s="7" t="b">
        <f t="shared" si="28"/>
        <v>1</v>
      </c>
      <c r="AJ11" s="7"/>
      <c r="AK11" s="7"/>
      <c r="AL11" s="7"/>
      <c r="AM11" s="7"/>
      <c r="AN11" s="7"/>
      <c r="AO11" s="7"/>
      <c r="AP11" s="7"/>
      <c r="AQ11" s="7"/>
      <c r="AR11" s="7"/>
      <c r="AS11" s="7"/>
      <c r="AT11" s="7"/>
      <c r="AU11" s="7"/>
      <c r="AV11" s="7">
        <f t="shared" si="29"/>
        <v>4000</v>
      </c>
      <c r="AW11" s="7">
        <f t="shared" si="30"/>
        <v>0</v>
      </c>
      <c r="AX11" s="7">
        <f t="shared" si="31"/>
        <v>0</v>
      </c>
      <c r="AY11" s="30">
        <f t="shared" si="32"/>
        <v>0</v>
      </c>
      <c r="AZ11" s="30">
        <f t="shared" si="33"/>
        <v>0</v>
      </c>
      <c r="BA11" s="30">
        <f t="shared" si="34"/>
        <v>122</v>
      </c>
      <c r="BB11" s="7">
        <f t="shared" si="69"/>
        <v>4122</v>
      </c>
      <c r="BC11" s="7" t="b">
        <f t="shared" si="35"/>
        <v>1</v>
      </c>
      <c r="BD11" s="7"/>
      <c r="BE11" s="7"/>
      <c r="BF11" s="7"/>
      <c r="BG11" s="7"/>
      <c r="BH11" s="7"/>
      <c r="BI11" s="7"/>
      <c r="BJ11" s="7"/>
      <c r="BK11" s="7"/>
      <c r="BL11" s="7"/>
      <c r="BM11" s="7"/>
      <c r="BN11" s="7"/>
      <c r="BO11" s="7"/>
      <c r="BP11" s="7">
        <f>MATCH($A11,GenUnits!$AX$43:$AX$48,1)</f>
        <v>2</v>
      </c>
      <c r="BQ11" s="7"/>
      <c r="BR11" s="2">
        <f t="shared" ca="1" si="36"/>
        <v>0.79761451621591573</v>
      </c>
      <c r="BS11" s="2">
        <f t="shared" ca="1" si="37"/>
        <v>0.19400699889136805</v>
      </c>
      <c r="BT11" s="2">
        <f t="shared" ca="1" si="38"/>
        <v>8.3784848927162189E-3</v>
      </c>
      <c r="BU11" s="59">
        <f t="shared" ca="1" si="39"/>
        <v>0.98960476718632573</v>
      </c>
      <c r="BV11" s="59">
        <f t="shared" ca="1" si="40"/>
        <v>1</v>
      </c>
      <c r="BW11" s="59">
        <f t="shared" ca="1" si="41"/>
        <v>1.0395232813674229E-2</v>
      </c>
      <c r="BX11" s="2">
        <f t="shared" si="42"/>
        <v>0</v>
      </c>
      <c r="BY11" s="2">
        <f t="shared" si="43"/>
        <v>1</v>
      </c>
      <c r="BZ11" s="60">
        <f t="shared" ca="1" si="44"/>
        <v>0.80435378222871823</v>
      </c>
      <c r="CA11" s="60">
        <f t="shared" ca="1" si="45"/>
        <v>0.1956462177712818</v>
      </c>
      <c r="CB11" s="52">
        <v>0</v>
      </c>
      <c r="CC11" s="2"/>
      <c r="CD11" s="7"/>
      <c r="CE11" s="7"/>
      <c r="CF11" s="7"/>
      <c r="CG11" s="7">
        <f t="shared" si="46"/>
        <v>220</v>
      </c>
      <c r="CH11" s="9">
        <f t="shared" si="70"/>
        <v>3874.5332337565346</v>
      </c>
      <c r="CI11" s="7">
        <f t="shared" si="71"/>
        <v>122</v>
      </c>
      <c r="CJ11" s="9">
        <f t="shared" si="47"/>
        <v>125.46676624346527</v>
      </c>
      <c r="CK11" s="7">
        <f t="shared" ca="1" si="48"/>
        <v>3287.7670358420046</v>
      </c>
      <c r="CL11" s="7">
        <f t="shared" ca="1" si="49"/>
        <v>799.69684943021912</v>
      </c>
      <c r="CM11" s="7">
        <f t="shared" ca="1" si="50"/>
        <v>34.536114727776251</v>
      </c>
      <c r="CN11" s="7">
        <f t="shared" ca="1" si="51"/>
        <v>3874.5332337565346</v>
      </c>
      <c r="CO11" s="7">
        <f t="shared" ca="1" si="52"/>
        <v>122</v>
      </c>
      <c r="CP11" s="7">
        <f t="shared" ca="1" si="53"/>
        <v>125.46676624346527</v>
      </c>
      <c r="CQ11" s="7">
        <f t="array" aca="1" ref="CQ11" ca="1">(SUM(IF($AV$5:$BA$5=CQ$5,$AV11:$BA11))*BU11+SUM(IF($AV$5:$BA$5="B",$AV11:$BA11))*BR11)*$Q11</f>
        <v>3958.4190687453029</v>
      </c>
      <c r="CR11" s="7">
        <f t="array" aca="1" ref="CR11" ca="1">(SUM(IF($AV$5:$BA$5=CR$5,$AV11:$BA11))*BV11+SUM(IF($AV$5:$BA$5="B",$AV11:$BA11))*BS11)*$Q11</f>
        <v>122</v>
      </c>
      <c r="CS11" s="7">
        <f t="array" aca="1" ref="CS11" ca="1">(SUM(IF($AV$5:$BA$5=CS$5,$AV11:$BA11))*BW11+SUM(IF($AV$5:$BA$5="B",$AV11:$BA11))*BT11)*$Q11</f>
        <v>41.580931254696921</v>
      </c>
      <c r="CT11" s="7">
        <f t="array" aca="1" ref="CT11" ca="1">(SUM(IF($BF$5:$BL$5=CT$5,IF($BF$4:$BL$4="B",$BF11:$BL11)))*BU11+SUM(IF($BF$5:$BL$5=CT$5,IF($BF$4:$BL$4=CT$4,$BF11:$BL11)))+SUM(IF($BF$5:$BL$5="B",$BF11:$BL11))*BZ11)*$Q11</f>
        <v>0</v>
      </c>
      <c r="CU11" s="7">
        <f t="array" aca="1" ref="CU11" ca="1">(SUM(IF($BF$5:$BL$5=CU$5,IF($BF$4:$BL$4="B",$BF11:$BL11)))*BV11+SUM(IF($BF$5:$BL$5=CU$5,IF($BF$4:$BL$4=CU$4,$BF11:$BL11)))+SUM(IF($BF$5:$BL$5="B",$BF11:$BL11))*CA11)*$Q11</f>
        <v>0</v>
      </c>
      <c r="CV11" s="7">
        <f t="array" aca="1" ref="CV11" ca="1">(SUM(IF($BF$5:$BL$5=CV$5,IF($BF$4:$BL$4="B",$BF11:$BL11)))*BW11+SUM(IF($BF$5:$BL$5=CV$5,IF($BF$4:$BL$4=CV$4,$BF11:$BL11)))+SUM(IF($BF$5:$BL$5="B",$BF11:$BL11))*CB11)*$Q11</f>
        <v>0</v>
      </c>
      <c r="CW11" s="7"/>
      <c r="CX11" s="9">
        <f t="shared" si="72"/>
        <v>4000</v>
      </c>
      <c r="CY11" s="9">
        <f t="shared" si="73"/>
        <v>-3874.5332337565346</v>
      </c>
      <c r="CZ11" s="9">
        <f t="shared" si="74"/>
        <v>125.46676624346537</v>
      </c>
      <c r="DA11" s="9">
        <f t="shared" si="75"/>
        <v>122</v>
      </c>
      <c r="DB11" s="9">
        <f t="shared" si="76"/>
        <v>-247.46676624346526</v>
      </c>
      <c r="DC11" s="9">
        <f t="shared" si="77"/>
        <v>-125.46676624346526</v>
      </c>
      <c r="DD11" s="9">
        <f t="shared" si="78"/>
        <v>4000</v>
      </c>
      <c r="DE11" s="9">
        <f t="shared" ca="1" si="54"/>
        <v>-3287.7670358420046</v>
      </c>
      <c r="DF11" s="9">
        <f t="shared" ca="1" si="79"/>
        <v>712.23296415799541</v>
      </c>
      <c r="DG11" s="9">
        <f t="shared" si="80"/>
        <v>122</v>
      </c>
      <c r="DH11" s="9">
        <f t="shared" ca="1" si="81"/>
        <v>-834.23296415799541</v>
      </c>
      <c r="DI11" s="9">
        <f t="shared" ca="1" si="82"/>
        <v>-712.23296415799541</v>
      </c>
      <c r="DJ11" s="9">
        <f t="shared" si="83"/>
        <v>4000</v>
      </c>
      <c r="DK11" s="9">
        <f t="shared" ca="1" si="55"/>
        <v>-3874.5332337565346</v>
      </c>
      <c r="DL11" s="9">
        <f t="shared" ca="1" si="84"/>
        <v>125.46676624346537</v>
      </c>
      <c r="DM11" s="9">
        <f t="shared" si="85"/>
        <v>122</v>
      </c>
      <c r="DN11" s="9">
        <f t="shared" ca="1" si="56"/>
        <v>-247.46676624346526</v>
      </c>
      <c r="DO11" s="9">
        <f t="shared" ca="1" si="86"/>
        <v>-125.46676624346526</v>
      </c>
      <c r="DP11" s="9">
        <f t="shared" si="87"/>
        <v>4000</v>
      </c>
      <c r="DQ11" s="9">
        <f t="shared" ca="1" si="57"/>
        <v>-3958.4190687453029</v>
      </c>
      <c r="DR11" s="9">
        <f t="shared" ca="1" si="88"/>
        <v>41.580931254697134</v>
      </c>
      <c r="DS11" s="9">
        <f t="shared" si="89"/>
        <v>122</v>
      </c>
      <c r="DT11" s="9">
        <f t="shared" ca="1" si="58"/>
        <v>-163.58093125469691</v>
      </c>
      <c r="DU11" s="9">
        <f t="shared" ca="1" si="90"/>
        <v>-41.580931254696907</v>
      </c>
    </row>
    <row r="12" spans="1:125" ht="14.45" x14ac:dyDescent="0.35">
      <c r="A12" s="1">
        <v>800</v>
      </c>
      <c r="B12" s="14">
        <f t="shared" si="59"/>
        <v>0</v>
      </c>
      <c r="C12" s="9">
        <f t="shared" si="16"/>
        <v>0</v>
      </c>
      <c r="D12" s="14">
        <f t="shared" si="17"/>
        <v>302</v>
      </c>
      <c r="E12" s="34">
        <f>E8</f>
        <v>0</v>
      </c>
      <c r="F12" s="15">
        <f t="shared" si="18"/>
        <v>0</v>
      </c>
      <c r="G12">
        <f t="shared" si="91"/>
        <v>10</v>
      </c>
      <c r="H12">
        <f t="shared" si="91"/>
        <v>1</v>
      </c>
      <c r="I12" s="5">
        <f>GenUnits!$V$12</f>
        <v>400</v>
      </c>
      <c r="J12" s="5">
        <f>GenUnits!$W$12</f>
        <v>122</v>
      </c>
      <c r="K12" s="14">
        <f t="shared" si="60"/>
        <v>302</v>
      </c>
      <c r="L12" s="14">
        <f t="shared" si="61"/>
        <v>400</v>
      </c>
      <c r="M12" s="14">
        <f t="shared" si="62"/>
        <v>122</v>
      </c>
      <c r="N12" s="34">
        <f>GenUnits!$V$11</f>
        <v>1297</v>
      </c>
      <c r="O12" s="34">
        <f>GenUnits!$W$11</f>
        <v>864</v>
      </c>
      <c r="P12" s="14">
        <f t="shared" si="19"/>
        <v>242</v>
      </c>
      <c r="Q12" s="14">
        <f t="shared" si="20"/>
        <v>1</v>
      </c>
      <c r="S12" s="7">
        <f t="shared" si="63"/>
        <v>400</v>
      </c>
      <c r="T12" s="7">
        <f t="shared" si="21"/>
        <v>122</v>
      </c>
      <c r="U12" s="7">
        <f t="shared" si="64"/>
        <v>522</v>
      </c>
      <c r="V12" s="7">
        <f t="shared" si="22"/>
        <v>4000</v>
      </c>
      <c r="W12" s="7">
        <f t="shared" si="23"/>
        <v>122</v>
      </c>
      <c r="X12" s="7">
        <f t="shared" si="65"/>
        <v>4122</v>
      </c>
      <c r="Y12" s="45"/>
      <c r="Z12" s="46" t="str">
        <f>$D12&amp;" MW"</f>
        <v>302 MW</v>
      </c>
      <c r="AA12" s="44">
        <f t="shared" si="66"/>
        <v>0</v>
      </c>
      <c r="AB12" s="7">
        <f t="shared" si="24"/>
        <v>400</v>
      </c>
      <c r="AC12" s="15">
        <f t="shared" si="25"/>
        <v>0</v>
      </c>
      <c r="AD12" s="8">
        <v>0</v>
      </c>
      <c r="AE12" s="15">
        <f t="shared" si="26"/>
        <v>0</v>
      </c>
      <c r="AF12" s="7">
        <f t="shared" si="67"/>
        <v>0</v>
      </c>
      <c r="AG12" s="7">
        <f t="shared" si="27"/>
        <v>122</v>
      </c>
      <c r="AH12" s="7">
        <f t="shared" si="68"/>
        <v>522</v>
      </c>
      <c r="AI12" s="7" t="b">
        <f t="shared" si="28"/>
        <v>1</v>
      </c>
      <c r="AJ12" s="7"/>
      <c r="AK12" s="7"/>
      <c r="AL12" s="7"/>
      <c r="AM12" s="7"/>
      <c r="AN12" s="7"/>
      <c r="AO12" s="7"/>
      <c r="AP12" s="7"/>
      <c r="AQ12" s="7"/>
      <c r="AR12" s="7"/>
      <c r="AS12" s="7"/>
      <c r="AT12" s="7"/>
      <c r="AU12" s="7"/>
      <c r="AV12" s="7">
        <f t="shared" si="29"/>
        <v>4000</v>
      </c>
      <c r="AW12" s="7">
        <f t="shared" si="30"/>
        <v>0</v>
      </c>
      <c r="AX12" s="7">
        <f t="shared" si="31"/>
        <v>0</v>
      </c>
      <c r="AY12" s="30">
        <f t="shared" si="32"/>
        <v>0</v>
      </c>
      <c r="AZ12" s="30">
        <f t="shared" si="33"/>
        <v>0</v>
      </c>
      <c r="BA12" s="30">
        <f t="shared" si="34"/>
        <v>122</v>
      </c>
      <c r="BB12" s="7">
        <f t="shared" si="69"/>
        <v>4122</v>
      </c>
      <c r="BC12" s="7" t="b">
        <f t="shared" si="35"/>
        <v>1</v>
      </c>
      <c r="BD12" s="7"/>
      <c r="BE12" s="7"/>
      <c r="BF12" s="7"/>
      <c r="BG12" s="7"/>
      <c r="BH12" s="7"/>
      <c r="BI12" s="7"/>
      <c r="BJ12" s="7"/>
      <c r="BK12" s="7"/>
      <c r="BL12" s="7"/>
      <c r="BM12" s="7"/>
      <c r="BN12" s="7"/>
      <c r="BO12" s="7"/>
      <c r="BP12" s="7">
        <f>MATCH($A12,GenUnits!$AX$43:$AX$48,1)</f>
        <v>4</v>
      </c>
      <c r="BQ12" s="7"/>
      <c r="BR12" s="2">
        <f t="shared" ca="1" si="36"/>
        <v>0.6902169860500027</v>
      </c>
      <c r="BS12" s="2">
        <f t="shared" ca="1" si="37"/>
        <v>0.19182986842379629</v>
      </c>
      <c r="BT12" s="2">
        <f t="shared" ca="1" si="38"/>
        <v>0.11795314552620097</v>
      </c>
      <c r="BU12" s="59">
        <f t="shared" ca="1" si="39"/>
        <v>0.85404911550473583</v>
      </c>
      <c r="BV12" s="59">
        <f t="shared" ca="1" si="40"/>
        <v>1</v>
      </c>
      <c r="BW12" s="59">
        <f t="shared" ca="1" si="41"/>
        <v>0.14595088449526419</v>
      </c>
      <c r="BX12" s="2">
        <f t="shared" si="42"/>
        <v>0</v>
      </c>
      <c r="BY12" s="2">
        <f t="shared" si="43"/>
        <v>1</v>
      </c>
      <c r="BZ12" s="60">
        <f t="shared" ca="1" si="44"/>
        <v>0.78251737144027811</v>
      </c>
      <c r="CA12" s="60">
        <f t="shared" ca="1" si="45"/>
        <v>0.21748262855972189</v>
      </c>
      <c r="CB12" s="52">
        <v>0</v>
      </c>
      <c r="CC12" s="2"/>
      <c r="CD12" s="7"/>
      <c r="CE12" s="7"/>
      <c r="CF12" s="7"/>
      <c r="CG12" s="7">
        <f t="shared" si="46"/>
        <v>0</v>
      </c>
      <c r="CH12" s="9">
        <f t="shared" si="70"/>
        <v>3371.0201429499675</v>
      </c>
      <c r="CI12" s="7">
        <f t="shared" si="71"/>
        <v>122</v>
      </c>
      <c r="CJ12" s="9">
        <f t="shared" si="47"/>
        <v>628.97985705003248</v>
      </c>
      <c r="CK12" s="7">
        <f t="shared" ca="1" si="48"/>
        <v>2845.0744164981111</v>
      </c>
      <c r="CL12" s="7">
        <f t="shared" ca="1" si="49"/>
        <v>790.72271764288826</v>
      </c>
      <c r="CM12" s="7">
        <f t="shared" ca="1" si="50"/>
        <v>486.20286585900038</v>
      </c>
      <c r="CN12" s="7">
        <f t="shared" ca="1" si="51"/>
        <v>3371.0201429499675</v>
      </c>
      <c r="CO12" s="7">
        <f t="shared" ca="1" si="52"/>
        <v>122</v>
      </c>
      <c r="CP12" s="7">
        <f t="shared" ca="1" si="53"/>
        <v>628.97985705003248</v>
      </c>
      <c r="CQ12" s="7">
        <f t="array" aca="1" ref="CQ12" ca="1">(SUM(IF($AV$5:$BA$5=CQ$5,$AV12:$BA12))*BU12+SUM(IF($AV$5:$BA$5="B",$AV12:$BA12))*BR12)*$Q12</f>
        <v>3416.1964620189433</v>
      </c>
      <c r="CR12" s="7">
        <f t="array" aca="1" ref="CR12" ca="1">(SUM(IF($AV$5:$BA$5=CR$5,$AV12:$BA12))*BV12+SUM(IF($AV$5:$BA$5="B",$AV12:$BA12))*BS12)*$Q12</f>
        <v>122</v>
      </c>
      <c r="CS12" s="7">
        <f t="array" aca="1" ref="CS12" ca="1">(SUM(IF($AV$5:$BA$5=CS$5,$AV12:$BA12))*BW12+SUM(IF($AV$5:$BA$5="B",$AV12:$BA12))*BT12)*$Q12</f>
        <v>583.80353798105682</v>
      </c>
      <c r="CT12" s="7">
        <f t="array" aca="1" ref="CT12" ca="1">(SUM(IF($BF$5:$BL$5=CT$5,IF($BF$4:$BL$4="B",$BF12:$BL12)))*BU12+SUM(IF($BF$5:$BL$5=CT$5,IF($BF$4:$BL$4=CT$4,$BF12:$BL12)))+SUM(IF($BF$5:$BL$5="B",$BF12:$BL12))*BZ12)*$Q12</f>
        <v>0</v>
      </c>
      <c r="CU12" s="7">
        <f t="array" aca="1" ref="CU12" ca="1">(SUM(IF($BF$5:$BL$5=CU$5,IF($BF$4:$BL$4="B",$BF12:$BL12)))*BV12+SUM(IF($BF$5:$BL$5=CU$5,IF($BF$4:$BL$4=CU$4,$BF12:$BL12)))+SUM(IF($BF$5:$BL$5="B",$BF12:$BL12))*CA12)*$Q12</f>
        <v>0</v>
      </c>
      <c r="CV12" s="7">
        <f t="array" aca="1" ref="CV12" ca="1">(SUM(IF($BF$5:$BL$5=CV$5,IF($BF$4:$BL$4="B",$BF12:$BL12)))*BW12+SUM(IF($BF$5:$BL$5=CV$5,IF($BF$4:$BL$4=CV$4,$BF12:$BL12)))+SUM(IF($BF$5:$BL$5="B",$BF12:$BL12))*CB12)*$Q12</f>
        <v>0</v>
      </c>
      <c r="CW12" s="7"/>
      <c r="CX12" s="9">
        <f t="shared" si="72"/>
        <v>4000</v>
      </c>
      <c r="CY12" s="9">
        <f t="shared" si="73"/>
        <v>-3371.0201429499675</v>
      </c>
      <c r="CZ12" s="9">
        <f t="shared" si="74"/>
        <v>628.97985705003248</v>
      </c>
      <c r="DA12" s="9">
        <f t="shared" si="75"/>
        <v>122</v>
      </c>
      <c r="DB12" s="9">
        <f t="shared" si="76"/>
        <v>-750.97985705003248</v>
      </c>
      <c r="DC12" s="9">
        <f t="shared" si="77"/>
        <v>-628.97985705003248</v>
      </c>
      <c r="DD12" s="9">
        <f t="shared" si="78"/>
        <v>4000</v>
      </c>
      <c r="DE12" s="9">
        <f t="shared" ca="1" si="54"/>
        <v>-2845.0744164981111</v>
      </c>
      <c r="DF12" s="9">
        <f t="shared" ca="1" si="79"/>
        <v>1154.9255835018889</v>
      </c>
      <c r="DG12" s="9">
        <f t="shared" si="80"/>
        <v>122</v>
      </c>
      <c r="DH12" s="9">
        <f t="shared" ca="1" si="81"/>
        <v>-1276.9255835018887</v>
      </c>
      <c r="DI12" s="9">
        <f t="shared" ca="1" si="82"/>
        <v>-1154.9255835018887</v>
      </c>
      <c r="DJ12" s="9">
        <f t="shared" si="83"/>
        <v>4000</v>
      </c>
      <c r="DK12" s="9">
        <f t="shared" ca="1" si="55"/>
        <v>-3371.0201429499675</v>
      </c>
      <c r="DL12" s="9">
        <f t="shared" ca="1" si="84"/>
        <v>628.97985705003248</v>
      </c>
      <c r="DM12" s="9">
        <f t="shared" si="85"/>
        <v>122</v>
      </c>
      <c r="DN12" s="9">
        <f t="shared" ca="1" si="56"/>
        <v>-750.97985705003248</v>
      </c>
      <c r="DO12" s="9">
        <f t="shared" ca="1" si="86"/>
        <v>-628.97985705003248</v>
      </c>
      <c r="DP12" s="9">
        <f t="shared" si="87"/>
        <v>4000</v>
      </c>
      <c r="DQ12" s="9">
        <f t="shared" ca="1" si="57"/>
        <v>-3416.1964620189433</v>
      </c>
      <c r="DR12" s="9">
        <f t="shared" ca="1" si="88"/>
        <v>583.80353798105671</v>
      </c>
      <c r="DS12" s="9">
        <f t="shared" si="89"/>
        <v>122</v>
      </c>
      <c r="DT12" s="9">
        <f t="shared" ca="1" si="58"/>
        <v>-705.80353798105682</v>
      </c>
      <c r="DU12" s="9">
        <f t="shared" ca="1" si="90"/>
        <v>-583.80353798105682</v>
      </c>
    </row>
    <row r="13" spans="1:125" ht="14.45" x14ac:dyDescent="0.35">
      <c r="A13" s="14">
        <f>A12</f>
        <v>800</v>
      </c>
      <c r="B13" s="14">
        <f t="shared" si="59"/>
        <v>0</v>
      </c>
      <c r="C13" s="9">
        <f t="shared" si="16"/>
        <v>0</v>
      </c>
      <c r="D13" s="14">
        <f t="shared" si="17"/>
        <v>302</v>
      </c>
      <c r="E13" s="34">
        <f t="shared" ref="E13:E55" si="92">E9</f>
        <v>10</v>
      </c>
      <c r="F13" s="15">
        <f t="shared" si="18"/>
        <v>0</v>
      </c>
      <c r="G13">
        <f t="shared" si="91"/>
        <v>10</v>
      </c>
      <c r="H13">
        <f t="shared" si="91"/>
        <v>1</v>
      </c>
      <c r="I13" s="5">
        <f>GenUnits!$V$12</f>
        <v>400</v>
      </c>
      <c r="J13" s="5">
        <f>GenUnits!$W$12</f>
        <v>122</v>
      </c>
      <c r="K13" s="14">
        <f t="shared" si="60"/>
        <v>302</v>
      </c>
      <c r="L13" s="14">
        <f t="shared" si="61"/>
        <v>400</v>
      </c>
      <c r="M13" s="14">
        <f t="shared" si="62"/>
        <v>122</v>
      </c>
      <c r="N13" s="34">
        <f>GenUnits!$V$11</f>
        <v>1297</v>
      </c>
      <c r="O13" s="34">
        <f>GenUnits!$W$11</f>
        <v>864</v>
      </c>
      <c r="P13" s="14">
        <f t="shared" si="19"/>
        <v>242</v>
      </c>
      <c r="Q13" s="14">
        <f t="shared" si="20"/>
        <v>1</v>
      </c>
      <c r="S13" s="7">
        <f t="shared" si="63"/>
        <v>400</v>
      </c>
      <c r="T13" s="7">
        <f t="shared" si="21"/>
        <v>122</v>
      </c>
      <c r="U13" s="7">
        <f t="shared" ref="U13:U16" si="93">SUM(S13:T13)</f>
        <v>522</v>
      </c>
      <c r="V13" s="7">
        <f t="shared" si="22"/>
        <v>4000</v>
      </c>
      <c r="W13" s="7">
        <f t="shared" si="23"/>
        <v>122</v>
      </c>
      <c r="X13" s="7">
        <f t="shared" ref="X13:X16" si="94">SUM(V13:W13)</f>
        <v>4122</v>
      </c>
      <c r="Y13" s="45"/>
      <c r="Z13" s="46"/>
      <c r="AA13" s="44">
        <f t="shared" si="66"/>
        <v>10</v>
      </c>
      <c r="AB13" s="7">
        <f t="shared" si="24"/>
        <v>400</v>
      </c>
      <c r="AC13" s="15">
        <f t="shared" si="25"/>
        <v>0</v>
      </c>
      <c r="AD13" s="8">
        <v>0</v>
      </c>
      <c r="AE13" s="15">
        <f t="shared" si="26"/>
        <v>0</v>
      </c>
      <c r="AF13" s="7">
        <f t="shared" si="67"/>
        <v>0</v>
      </c>
      <c r="AG13" s="7">
        <f t="shared" si="27"/>
        <v>122</v>
      </c>
      <c r="AH13" s="7">
        <f t="shared" ref="AH13:AH16" si="95">SUM(AB13:AG13)</f>
        <v>522</v>
      </c>
      <c r="AI13" s="7" t="b">
        <f t="shared" si="28"/>
        <v>1</v>
      </c>
      <c r="AJ13" s="7"/>
      <c r="AK13" s="7"/>
      <c r="AL13" s="7"/>
      <c r="AM13" s="7"/>
      <c r="AN13" s="7"/>
      <c r="AO13" s="7"/>
      <c r="AP13" s="7"/>
      <c r="AQ13" s="7"/>
      <c r="AR13" s="7"/>
      <c r="AS13" s="7"/>
      <c r="AT13" s="7"/>
      <c r="AU13" s="7"/>
      <c r="AV13" s="7">
        <f t="shared" si="29"/>
        <v>4000</v>
      </c>
      <c r="AW13" s="7">
        <f t="shared" si="30"/>
        <v>0</v>
      </c>
      <c r="AX13" s="7">
        <f t="shared" si="31"/>
        <v>0</v>
      </c>
      <c r="AY13" s="30">
        <f t="shared" si="32"/>
        <v>0</v>
      </c>
      <c r="AZ13" s="30">
        <f t="shared" si="33"/>
        <v>0</v>
      </c>
      <c r="BA13" s="30">
        <f t="shared" si="34"/>
        <v>122</v>
      </c>
      <c r="BB13" s="7">
        <f t="shared" ref="BB13:BB16" si="96">SUM(AV13:BA13)</f>
        <v>4122</v>
      </c>
      <c r="BC13" s="7" t="b">
        <f t="shared" si="35"/>
        <v>1</v>
      </c>
      <c r="BD13" s="7"/>
      <c r="BE13" s="7"/>
      <c r="BF13" s="7"/>
      <c r="BG13" s="7"/>
      <c r="BH13" s="7"/>
      <c r="BI13" s="7"/>
      <c r="BJ13" s="7"/>
      <c r="BK13" s="7"/>
      <c r="BL13" s="7"/>
      <c r="BM13" s="7"/>
      <c r="BN13" s="7"/>
      <c r="BO13" s="7"/>
      <c r="BP13" s="7">
        <f>MATCH($A13,GenUnits!$AX$43:$AX$48,1)</f>
        <v>4</v>
      </c>
      <c r="BQ13" s="7"/>
      <c r="BR13" s="2">
        <f t="shared" ca="1" si="36"/>
        <v>0.6902169860500027</v>
      </c>
      <c r="BS13" s="2">
        <f t="shared" ca="1" si="37"/>
        <v>0.19182986842379629</v>
      </c>
      <c r="BT13" s="2">
        <f t="shared" ca="1" si="38"/>
        <v>0.11795314552620097</v>
      </c>
      <c r="BU13" s="59">
        <f t="shared" ca="1" si="39"/>
        <v>0.85404911550473583</v>
      </c>
      <c r="BV13" s="59">
        <f t="shared" ca="1" si="40"/>
        <v>1</v>
      </c>
      <c r="BW13" s="59">
        <f t="shared" ca="1" si="41"/>
        <v>0.14595088449526419</v>
      </c>
      <c r="BX13" s="2">
        <f t="shared" si="42"/>
        <v>0</v>
      </c>
      <c r="BY13" s="2">
        <f t="shared" si="43"/>
        <v>1</v>
      </c>
      <c r="BZ13" s="60">
        <f t="shared" ca="1" si="44"/>
        <v>0.78251737144027811</v>
      </c>
      <c r="CA13" s="60">
        <f t="shared" ca="1" si="45"/>
        <v>0.21748262855972189</v>
      </c>
      <c r="CB13" s="52">
        <v>0</v>
      </c>
      <c r="CC13" s="2"/>
      <c r="CD13" s="7"/>
      <c r="CE13" s="7"/>
      <c r="CF13" s="7"/>
      <c r="CG13" s="7">
        <f t="shared" si="46"/>
        <v>10</v>
      </c>
      <c r="CH13" s="9">
        <f t="shared" ref="CH13:CH16" si="97">$V13-CJ13</f>
        <v>3371.0201429499675</v>
      </c>
      <c r="CI13" s="7">
        <f t="shared" si="71"/>
        <v>122</v>
      </c>
      <c r="CJ13" s="9">
        <f t="shared" si="47"/>
        <v>628.97985705003248</v>
      </c>
      <c r="CK13" s="7">
        <f t="shared" ca="1" si="48"/>
        <v>2845.0744164981111</v>
      </c>
      <c r="CL13" s="7">
        <f t="shared" ca="1" si="49"/>
        <v>790.72271764288826</v>
      </c>
      <c r="CM13" s="7">
        <f t="shared" ca="1" si="50"/>
        <v>486.20286585900038</v>
      </c>
      <c r="CN13" s="7">
        <f t="shared" ca="1" si="51"/>
        <v>3371.0201429499675</v>
      </c>
      <c r="CO13" s="7">
        <f t="shared" ca="1" si="52"/>
        <v>122</v>
      </c>
      <c r="CP13" s="7">
        <f t="shared" ca="1" si="53"/>
        <v>628.97985705003248</v>
      </c>
      <c r="CQ13" s="7">
        <f t="array" aca="1" ref="CQ13" ca="1">(SUM(IF($AV$5:$BA$5=CQ$5,$AV13:$BA13))*BU13+SUM(IF($AV$5:$BA$5="B",$AV13:$BA13))*BR13)*$Q13</f>
        <v>3416.1964620189433</v>
      </c>
      <c r="CR13" s="7">
        <f t="array" aca="1" ref="CR13" ca="1">(SUM(IF($AV$5:$BA$5=CR$5,$AV13:$BA13))*BV13+SUM(IF($AV$5:$BA$5="B",$AV13:$BA13))*BS13)*$Q13</f>
        <v>122</v>
      </c>
      <c r="CS13" s="7">
        <f t="array" aca="1" ref="CS13" ca="1">(SUM(IF($AV$5:$BA$5=CS$5,$AV13:$BA13))*BW13+SUM(IF($AV$5:$BA$5="B",$AV13:$BA13))*BT13)*$Q13</f>
        <v>583.80353798105682</v>
      </c>
      <c r="CT13" s="7">
        <f t="array" aca="1" ref="CT13" ca="1">(SUM(IF($BF$5:$BL$5=CT$5,IF($BF$4:$BL$4="B",$BF13:$BL13)))*BU13+SUM(IF($BF$5:$BL$5=CT$5,IF($BF$4:$BL$4=CT$4,$BF13:$BL13)))+SUM(IF($BF$5:$BL$5="B",$BF13:$BL13))*BZ13)*$Q13</f>
        <v>0</v>
      </c>
      <c r="CU13" s="7">
        <f t="array" aca="1" ref="CU13" ca="1">(SUM(IF($BF$5:$BL$5=CU$5,IF($BF$4:$BL$4="B",$BF13:$BL13)))*BV13+SUM(IF($BF$5:$BL$5=CU$5,IF($BF$4:$BL$4=CU$4,$BF13:$BL13)))+SUM(IF($BF$5:$BL$5="B",$BF13:$BL13))*CA13)*$Q13</f>
        <v>0</v>
      </c>
      <c r="CV13" s="7">
        <f t="array" aca="1" ref="CV13" ca="1">(SUM(IF($BF$5:$BL$5=CV$5,IF($BF$4:$BL$4="B",$BF13:$BL13)))*BW13+SUM(IF($BF$5:$BL$5=CV$5,IF($BF$4:$BL$4=CV$4,$BF13:$BL13)))+SUM(IF($BF$5:$BL$5="B",$BF13:$BL13))*CB13)*$Q13</f>
        <v>0</v>
      </c>
      <c r="CW13" s="7"/>
      <c r="CX13" s="9">
        <f t="shared" si="72"/>
        <v>4000</v>
      </c>
      <c r="CY13" s="9">
        <f t="shared" ref="CY13:CY16" si="98">-CH13</f>
        <v>-3371.0201429499675</v>
      </c>
      <c r="CZ13" s="9">
        <f t="shared" ref="CZ13:CZ16" si="99">SUM(CX13:CY13)</f>
        <v>628.97985705003248</v>
      </c>
      <c r="DA13" s="9">
        <f t="shared" si="75"/>
        <v>122</v>
      </c>
      <c r="DB13" s="9">
        <f t="shared" ref="DB13:DB16" si="100">-SUM(CI13:CJ13)</f>
        <v>-750.97985705003248</v>
      </c>
      <c r="DC13" s="9">
        <f t="shared" ref="DC13:DC16" si="101">SUM(DA13:DB13)</f>
        <v>-628.97985705003248</v>
      </c>
      <c r="DD13" s="9">
        <f t="shared" si="78"/>
        <v>4000</v>
      </c>
      <c r="DE13" s="9">
        <f t="shared" ca="1" si="54"/>
        <v>-2845.0744164981111</v>
      </c>
      <c r="DF13" s="9">
        <f t="shared" ref="DF13:DF16" ca="1" si="102">SUM(DD13:DE13)</f>
        <v>1154.9255835018889</v>
      </c>
      <c r="DG13" s="9">
        <f t="shared" si="80"/>
        <v>122</v>
      </c>
      <c r="DH13" s="9">
        <f t="shared" ref="DH13:DH16" ca="1" si="103">-SUM(CL13:CM13)</f>
        <v>-1276.9255835018887</v>
      </c>
      <c r="DI13" s="9">
        <f t="shared" ref="DI13:DI16" ca="1" si="104">SUM(DG13:DH13)</f>
        <v>-1154.9255835018887</v>
      </c>
      <c r="DJ13" s="9">
        <f t="shared" si="83"/>
        <v>4000</v>
      </c>
      <c r="DK13" s="9">
        <f t="shared" ca="1" si="55"/>
        <v>-3371.0201429499675</v>
      </c>
      <c r="DL13" s="9">
        <f t="shared" ref="DL13:DL16" ca="1" si="105">SUM(DJ13:DK13)</f>
        <v>628.97985705003248</v>
      </c>
      <c r="DM13" s="9">
        <f t="shared" si="85"/>
        <v>122</v>
      </c>
      <c r="DN13" s="9">
        <f t="shared" ca="1" si="56"/>
        <v>-750.97985705003248</v>
      </c>
      <c r="DO13" s="9">
        <f t="shared" ref="DO13:DO16" ca="1" si="106">SUM(DM13:DN13)</f>
        <v>-628.97985705003248</v>
      </c>
      <c r="DP13" s="9">
        <f t="shared" si="87"/>
        <v>4000</v>
      </c>
      <c r="DQ13" s="9">
        <f t="shared" ca="1" si="57"/>
        <v>-3416.1964620189433</v>
      </c>
      <c r="DR13" s="9">
        <f t="shared" ref="DR13:DR16" ca="1" si="107">SUM(DP13:DQ13)</f>
        <v>583.80353798105671</v>
      </c>
      <c r="DS13" s="9">
        <f t="shared" si="89"/>
        <v>122</v>
      </c>
      <c r="DT13" s="9">
        <f t="shared" ca="1" si="58"/>
        <v>-705.80353798105682</v>
      </c>
      <c r="DU13" s="9">
        <f t="shared" ref="DU13:DU16" ca="1" si="108">SUM(DS13:DT13)</f>
        <v>-583.80353798105682</v>
      </c>
    </row>
    <row r="14" spans="1:125" ht="14.45" x14ac:dyDescent="0.35">
      <c r="A14" s="14">
        <f>A13</f>
        <v>800</v>
      </c>
      <c r="B14" s="14">
        <f t="shared" si="59"/>
        <v>0</v>
      </c>
      <c r="C14" s="9">
        <f t="shared" si="16"/>
        <v>0</v>
      </c>
      <c r="D14" s="14">
        <f t="shared" si="17"/>
        <v>302</v>
      </c>
      <c r="E14" s="34">
        <f t="shared" si="92"/>
        <v>100</v>
      </c>
      <c r="F14" s="15">
        <f t="shared" si="18"/>
        <v>0</v>
      </c>
      <c r="G14">
        <f t="shared" si="91"/>
        <v>10</v>
      </c>
      <c r="H14">
        <f t="shared" si="91"/>
        <v>1</v>
      </c>
      <c r="I14" s="5">
        <f>GenUnits!$V$12</f>
        <v>400</v>
      </c>
      <c r="J14" s="5">
        <f>GenUnits!$W$12</f>
        <v>122</v>
      </c>
      <c r="K14" s="14">
        <f t="shared" si="60"/>
        <v>302</v>
      </c>
      <c r="L14" s="14">
        <f t="shared" si="61"/>
        <v>400</v>
      </c>
      <c r="M14" s="14">
        <f t="shared" si="62"/>
        <v>122</v>
      </c>
      <c r="N14" s="34">
        <f>GenUnits!$V$11</f>
        <v>1297</v>
      </c>
      <c r="O14" s="34">
        <f>GenUnits!$W$11</f>
        <v>864</v>
      </c>
      <c r="P14" s="14">
        <f t="shared" si="19"/>
        <v>242</v>
      </c>
      <c r="Q14" s="14">
        <f t="shared" si="20"/>
        <v>1</v>
      </c>
      <c r="S14" s="7">
        <f t="shared" si="63"/>
        <v>400</v>
      </c>
      <c r="T14" s="7">
        <f t="shared" si="21"/>
        <v>122</v>
      </c>
      <c r="U14" s="7">
        <f t="shared" si="93"/>
        <v>522</v>
      </c>
      <c r="V14" s="7">
        <f t="shared" si="22"/>
        <v>4000</v>
      </c>
      <c r="W14" s="7">
        <f t="shared" si="23"/>
        <v>122</v>
      </c>
      <c r="X14" s="7">
        <f t="shared" si="94"/>
        <v>4122</v>
      </c>
      <c r="Y14" s="45"/>
      <c r="Z14" s="46"/>
      <c r="AA14" s="44">
        <f t="shared" si="66"/>
        <v>100</v>
      </c>
      <c r="AB14" s="7">
        <f t="shared" si="24"/>
        <v>400</v>
      </c>
      <c r="AC14" s="15">
        <f t="shared" si="25"/>
        <v>0</v>
      </c>
      <c r="AD14" s="8">
        <v>0</v>
      </c>
      <c r="AE14" s="15">
        <f t="shared" si="26"/>
        <v>0</v>
      </c>
      <c r="AF14" s="7">
        <f t="shared" si="67"/>
        <v>0</v>
      </c>
      <c r="AG14" s="7">
        <f t="shared" si="27"/>
        <v>122</v>
      </c>
      <c r="AH14" s="7">
        <f t="shared" si="95"/>
        <v>522</v>
      </c>
      <c r="AI14" s="7" t="b">
        <f t="shared" si="28"/>
        <v>1</v>
      </c>
      <c r="AJ14" s="7"/>
      <c r="AK14" s="7"/>
      <c r="AL14" s="7"/>
      <c r="AM14" s="7"/>
      <c r="AN14" s="7"/>
      <c r="AO14" s="7"/>
      <c r="AP14" s="7"/>
      <c r="AQ14" s="7"/>
      <c r="AR14" s="7"/>
      <c r="AS14" s="7"/>
      <c r="AT14" s="7"/>
      <c r="AU14" s="7"/>
      <c r="AV14" s="7">
        <f t="shared" si="29"/>
        <v>4000</v>
      </c>
      <c r="AW14" s="7">
        <f t="shared" si="30"/>
        <v>0</v>
      </c>
      <c r="AX14" s="7">
        <f t="shared" si="31"/>
        <v>0</v>
      </c>
      <c r="AY14" s="30">
        <f t="shared" si="32"/>
        <v>0</v>
      </c>
      <c r="AZ14" s="30">
        <f t="shared" si="33"/>
        <v>0</v>
      </c>
      <c r="BA14" s="30">
        <f t="shared" si="34"/>
        <v>122</v>
      </c>
      <c r="BB14" s="7">
        <f t="shared" si="96"/>
        <v>4122</v>
      </c>
      <c r="BC14" s="7" t="b">
        <f t="shared" si="35"/>
        <v>1</v>
      </c>
      <c r="BD14" s="7"/>
      <c r="BE14" s="7"/>
      <c r="BF14" s="7"/>
      <c r="BG14" s="7"/>
      <c r="BH14" s="7"/>
      <c r="BI14" s="7"/>
      <c r="BJ14" s="7"/>
      <c r="BK14" s="7"/>
      <c r="BL14" s="7"/>
      <c r="BM14" s="7"/>
      <c r="BN14" s="7"/>
      <c r="BO14" s="7"/>
      <c r="BP14" s="7">
        <f>MATCH($A14,GenUnits!$AX$43:$AX$48,1)</f>
        <v>4</v>
      </c>
      <c r="BQ14" s="7"/>
      <c r="BR14" s="2">
        <f t="shared" ca="1" si="36"/>
        <v>0.6902169860500027</v>
      </c>
      <c r="BS14" s="2">
        <f t="shared" ca="1" si="37"/>
        <v>0.19182986842379629</v>
      </c>
      <c r="BT14" s="2">
        <f t="shared" ca="1" si="38"/>
        <v>0.11795314552620097</v>
      </c>
      <c r="BU14" s="59">
        <f t="shared" ca="1" si="39"/>
        <v>0.85404911550473583</v>
      </c>
      <c r="BV14" s="59">
        <f t="shared" ca="1" si="40"/>
        <v>1</v>
      </c>
      <c r="BW14" s="59">
        <f t="shared" ca="1" si="41"/>
        <v>0.14595088449526419</v>
      </c>
      <c r="BX14" s="2">
        <f t="shared" si="42"/>
        <v>0</v>
      </c>
      <c r="BY14" s="2">
        <f t="shared" si="43"/>
        <v>1</v>
      </c>
      <c r="BZ14" s="60">
        <f t="shared" ca="1" si="44"/>
        <v>0.78251737144027811</v>
      </c>
      <c r="CA14" s="60">
        <f t="shared" ca="1" si="45"/>
        <v>0.21748262855972189</v>
      </c>
      <c r="CB14" s="52">
        <v>0</v>
      </c>
      <c r="CC14" s="2"/>
      <c r="CD14" s="7"/>
      <c r="CE14" s="7"/>
      <c r="CF14" s="7"/>
      <c r="CG14" s="7">
        <f t="shared" si="46"/>
        <v>100</v>
      </c>
      <c r="CH14" s="9">
        <f t="shared" si="97"/>
        <v>3371.0201429499675</v>
      </c>
      <c r="CI14" s="7">
        <f t="shared" si="71"/>
        <v>122</v>
      </c>
      <c r="CJ14" s="9">
        <f t="shared" si="47"/>
        <v>628.97985705003248</v>
      </c>
      <c r="CK14" s="7">
        <f t="shared" ca="1" si="48"/>
        <v>2845.0744164981111</v>
      </c>
      <c r="CL14" s="7">
        <f t="shared" ca="1" si="49"/>
        <v>790.72271764288826</v>
      </c>
      <c r="CM14" s="7">
        <f t="shared" ca="1" si="50"/>
        <v>486.20286585900038</v>
      </c>
      <c r="CN14" s="7">
        <f t="shared" ca="1" si="51"/>
        <v>3371.0201429499675</v>
      </c>
      <c r="CO14" s="7">
        <f t="shared" ca="1" si="52"/>
        <v>122</v>
      </c>
      <c r="CP14" s="7">
        <f t="shared" ca="1" si="53"/>
        <v>628.97985705003248</v>
      </c>
      <c r="CQ14" s="7">
        <f t="array" aca="1" ref="CQ14" ca="1">(SUM(IF($AV$5:$BA$5=CQ$5,$AV14:$BA14))*BU14+SUM(IF($AV$5:$BA$5="B",$AV14:$BA14))*BR14)*$Q14</f>
        <v>3416.1964620189433</v>
      </c>
      <c r="CR14" s="7">
        <f t="array" aca="1" ref="CR14" ca="1">(SUM(IF($AV$5:$BA$5=CR$5,$AV14:$BA14))*BV14+SUM(IF($AV$5:$BA$5="B",$AV14:$BA14))*BS14)*$Q14</f>
        <v>122</v>
      </c>
      <c r="CS14" s="7">
        <f t="array" aca="1" ref="CS14" ca="1">(SUM(IF($AV$5:$BA$5=CS$5,$AV14:$BA14))*BW14+SUM(IF($AV$5:$BA$5="B",$AV14:$BA14))*BT14)*$Q14</f>
        <v>583.80353798105682</v>
      </c>
      <c r="CT14" s="7">
        <f t="array" aca="1" ref="CT14" ca="1">(SUM(IF($BF$5:$BL$5=CT$5,IF($BF$4:$BL$4="B",$BF14:$BL14)))*BU14+SUM(IF($BF$5:$BL$5=CT$5,IF($BF$4:$BL$4=CT$4,$BF14:$BL14)))+SUM(IF($BF$5:$BL$5="B",$BF14:$BL14))*BZ14)*$Q14</f>
        <v>0</v>
      </c>
      <c r="CU14" s="7">
        <f t="array" aca="1" ref="CU14" ca="1">(SUM(IF($BF$5:$BL$5=CU$5,IF($BF$4:$BL$4="B",$BF14:$BL14)))*BV14+SUM(IF($BF$5:$BL$5=CU$5,IF($BF$4:$BL$4=CU$4,$BF14:$BL14)))+SUM(IF($BF$5:$BL$5="B",$BF14:$BL14))*CA14)*$Q14</f>
        <v>0</v>
      </c>
      <c r="CV14" s="7">
        <f t="array" aca="1" ref="CV14" ca="1">(SUM(IF($BF$5:$BL$5=CV$5,IF($BF$4:$BL$4="B",$BF14:$BL14)))*BW14+SUM(IF($BF$5:$BL$5=CV$5,IF($BF$4:$BL$4=CV$4,$BF14:$BL14)))+SUM(IF($BF$5:$BL$5="B",$BF14:$BL14))*CB14)*$Q14</f>
        <v>0</v>
      </c>
      <c r="CW14" s="7"/>
      <c r="CX14" s="9">
        <f t="shared" si="72"/>
        <v>4000</v>
      </c>
      <c r="CY14" s="9">
        <f t="shared" si="98"/>
        <v>-3371.0201429499675</v>
      </c>
      <c r="CZ14" s="9">
        <f t="shared" si="99"/>
        <v>628.97985705003248</v>
      </c>
      <c r="DA14" s="9">
        <f t="shared" si="75"/>
        <v>122</v>
      </c>
      <c r="DB14" s="9">
        <f t="shared" si="100"/>
        <v>-750.97985705003248</v>
      </c>
      <c r="DC14" s="9">
        <f t="shared" si="101"/>
        <v>-628.97985705003248</v>
      </c>
      <c r="DD14" s="9">
        <f t="shared" si="78"/>
        <v>4000</v>
      </c>
      <c r="DE14" s="9">
        <f t="shared" ca="1" si="54"/>
        <v>-2845.0744164981111</v>
      </c>
      <c r="DF14" s="9">
        <f t="shared" ca="1" si="102"/>
        <v>1154.9255835018889</v>
      </c>
      <c r="DG14" s="9">
        <f t="shared" si="80"/>
        <v>122</v>
      </c>
      <c r="DH14" s="9">
        <f t="shared" ca="1" si="103"/>
        <v>-1276.9255835018887</v>
      </c>
      <c r="DI14" s="9">
        <f t="shared" ca="1" si="104"/>
        <v>-1154.9255835018887</v>
      </c>
      <c r="DJ14" s="9">
        <f t="shared" si="83"/>
        <v>4000</v>
      </c>
      <c r="DK14" s="9">
        <f t="shared" ca="1" si="55"/>
        <v>-3371.0201429499675</v>
      </c>
      <c r="DL14" s="9">
        <f t="shared" ca="1" si="105"/>
        <v>628.97985705003248</v>
      </c>
      <c r="DM14" s="9">
        <f t="shared" si="85"/>
        <v>122</v>
      </c>
      <c r="DN14" s="9">
        <f t="shared" ca="1" si="56"/>
        <v>-750.97985705003248</v>
      </c>
      <c r="DO14" s="9">
        <f t="shared" ca="1" si="106"/>
        <v>-628.97985705003248</v>
      </c>
      <c r="DP14" s="9">
        <f t="shared" si="87"/>
        <v>4000</v>
      </c>
      <c r="DQ14" s="9">
        <f t="shared" ca="1" si="57"/>
        <v>-3416.1964620189433</v>
      </c>
      <c r="DR14" s="9">
        <f t="shared" ca="1" si="107"/>
        <v>583.80353798105671</v>
      </c>
      <c r="DS14" s="9">
        <f t="shared" si="89"/>
        <v>122</v>
      </c>
      <c r="DT14" s="9">
        <f t="shared" ca="1" si="58"/>
        <v>-705.80353798105682</v>
      </c>
      <c r="DU14" s="9">
        <f t="shared" ca="1" si="108"/>
        <v>-583.80353798105682</v>
      </c>
    </row>
    <row r="15" spans="1:125" ht="14.45" x14ac:dyDescent="0.35">
      <c r="A15" s="14">
        <f>A14</f>
        <v>800</v>
      </c>
      <c r="B15" s="14">
        <f t="shared" si="59"/>
        <v>0</v>
      </c>
      <c r="C15" s="9">
        <f t="shared" si="16"/>
        <v>0</v>
      </c>
      <c r="D15" s="14">
        <f t="shared" si="17"/>
        <v>302</v>
      </c>
      <c r="E15" s="34">
        <f t="shared" si="92"/>
        <v>220</v>
      </c>
      <c r="F15" s="15">
        <f t="shared" si="18"/>
        <v>0</v>
      </c>
      <c r="G15">
        <f t="shared" si="91"/>
        <v>10</v>
      </c>
      <c r="H15">
        <f t="shared" si="91"/>
        <v>1</v>
      </c>
      <c r="I15" s="5">
        <f>GenUnits!$V$12</f>
        <v>400</v>
      </c>
      <c r="J15" s="5">
        <f>GenUnits!$W$12</f>
        <v>122</v>
      </c>
      <c r="K15" s="14">
        <f t="shared" si="60"/>
        <v>302</v>
      </c>
      <c r="L15" s="14">
        <f t="shared" si="61"/>
        <v>400</v>
      </c>
      <c r="M15" s="14">
        <f t="shared" si="62"/>
        <v>122</v>
      </c>
      <c r="N15" s="34">
        <f>GenUnits!$V$11</f>
        <v>1297</v>
      </c>
      <c r="O15" s="34">
        <f>GenUnits!$W$11</f>
        <v>864</v>
      </c>
      <c r="P15" s="14">
        <f t="shared" si="19"/>
        <v>242</v>
      </c>
      <c r="Q15" s="14">
        <f t="shared" si="20"/>
        <v>1</v>
      </c>
      <c r="S15" s="7">
        <f t="shared" si="63"/>
        <v>400</v>
      </c>
      <c r="T15" s="7">
        <f t="shared" si="21"/>
        <v>122</v>
      </c>
      <c r="U15" s="7">
        <f t="shared" si="93"/>
        <v>522</v>
      </c>
      <c r="V15" s="7">
        <f t="shared" si="22"/>
        <v>4000</v>
      </c>
      <c r="W15" s="7">
        <f t="shared" si="23"/>
        <v>122</v>
      </c>
      <c r="X15" s="7">
        <f t="shared" si="94"/>
        <v>4122</v>
      </c>
      <c r="Y15" s="45"/>
      <c r="Z15" s="46"/>
      <c r="AA15" s="44">
        <f t="shared" si="66"/>
        <v>220</v>
      </c>
      <c r="AB15" s="7">
        <f t="shared" si="24"/>
        <v>400</v>
      </c>
      <c r="AC15" s="15">
        <f t="shared" si="25"/>
        <v>0</v>
      </c>
      <c r="AD15" s="8">
        <v>0</v>
      </c>
      <c r="AE15" s="15">
        <f t="shared" si="26"/>
        <v>0</v>
      </c>
      <c r="AF15" s="7">
        <f t="shared" si="67"/>
        <v>0</v>
      </c>
      <c r="AG15" s="7">
        <f t="shared" si="27"/>
        <v>122</v>
      </c>
      <c r="AH15" s="7">
        <f t="shared" si="95"/>
        <v>522</v>
      </c>
      <c r="AI15" s="7" t="b">
        <f t="shared" si="28"/>
        <v>1</v>
      </c>
      <c r="AJ15" s="7"/>
      <c r="AK15" s="7"/>
      <c r="AL15" s="7"/>
      <c r="AM15" s="7"/>
      <c r="AN15" s="7"/>
      <c r="AO15" s="7"/>
      <c r="AP15" s="7"/>
      <c r="AQ15" s="7"/>
      <c r="AR15" s="7"/>
      <c r="AS15" s="7"/>
      <c r="AT15" s="7"/>
      <c r="AU15" s="7"/>
      <c r="AV15" s="7">
        <f t="shared" si="29"/>
        <v>4000</v>
      </c>
      <c r="AW15" s="7">
        <f t="shared" si="30"/>
        <v>0</v>
      </c>
      <c r="AX15" s="7">
        <f t="shared" si="31"/>
        <v>0</v>
      </c>
      <c r="AY15" s="30">
        <f t="shared" si="32"/>
        <v>0</v>
      </c>
      <c r="AZ15" s="30">
        <f t="shared" si="33"/>
        <v>0</v>
      </c>
      <c r="BA15" s="30">
        <f t="shared" si="34"/>
        <v>122</v>
      </c>
      <c r="BB15" s="7">
        <f t="shared" si="96"/>
        <v>4122</v>
      </c>
      <c r="BC15" s="7" t="b">
        <f t="shared" si="35"/>
        <v>1</v>
      </c>
      <c r="BD15" s="7"/>
      <c r="BE15" s="7"/>
      <c r="BF15" s="7"/>
      <c r="BG15" s="7"/>
      <c r="BH15" s="7"/>
      <c r="BI15" s="7"/>
      <c r="BJ15" s="7"/>
      <c r="BK15" s="7"/>
      <c r="BL15" s="7"/>
      <c r="BM15" s="7"/>
      <c r="BN15" s="7"/>
      <c r="BO15" s="7"/>
      <c r="BP15" s="7">
        <f>MATCH($A15,GenUnits!$AX$43:$AX$48,1)</f>
        <v>4</v>
      </c>
      <c r="BQ15" s="7"/>
      <c r="BR15" s="2">
        <f t="shared" ca="1" si="36"/>
        <v>0.6902169860500027</v>
      </c>
      <c r="BS15" s="2">
        <f t="shared" ca="1" si="37"/>
        <v>0.19182986842379629</v>
      </c>
      <c r="BT15" s="2">
        <f t="shared" ca="1" si="38"/>
        <v>0.11795314552620097</v>
      </c>
      <c r="BU15" s="59">
        <f t="shared" ca="1" si="39"/>
        <v>0.85404911550473583</v>
      </c>
      <c r="BV15" s="59">
        <f t="shared" ca="1" si="40"/>
        <v>1</v>
      </c>
      <c r="BW15" s="59">
        <f t="shared" ca="1" si="41"/>
        <v>0.14595088449526419</v>
      </c>
      <c r="BX15" s="2">
        <f t="shared" si="42"/>
        <v>0</v>
      </c>
      <c r="BY15" s="2">
        <f t="shared" si="43"/>
        <v>1</v>
      </c>
      <c r="BZ15" s="60">
        <f t="shared" ca="1" si="44"/>
        <v>0.78251737144027811</v>
      </c>
      <c r="CA15" s="60">
        <f t="shared" ca="1" si="45"/>
        <v>0.21748262855972189</v>
      </c>
      <c r="CB15" s="52">
        <v>0</v>
      </c>
      <c r="CC15" s="2"/>
      <c r="CD15" s="7"/>
      <c r="CE15" s="7"/>
      <c r="CF15" s="7"/>
      <c r="CG15" s="7">
        <f t="shared" si="46"/>
        <v>220</v>
      </c>
      <c r="CH15" s="9">
        <f t="shared" si="97"/>
        <v>3371.0201429499675</v>
      </c>
      <c r="CI15" s="7">
        <f t="shared" si="71"/>
        <v>122</v>
      </c>
      <c r="CJ15" s="9">
        <f t="shared" si="47"/>
        <v>628.97985705003248</v>
      </c>
      <c r="CK15" s="7">
        <f t="shared" ca="1" si="48"/>
        <v>2845.0744164981111</v>
      </c>
      <c r="CL15" s="7">
        <f t="shared" ca="1" si="49"/>
        <v>790.72271764288826</v>
      </c>
      <c r="CM15" s="7">
        <f t="shared" ca="1" si="50"/>
        <v>486.20286585900038</v>
      </c>
      <c r="CN15" s="7">
        <f t="shared" ca="1" si="51"/>
        <v>3371.0201429499675</v>
      </c>
      <c r="CO15" s="7">
        <f t="shared" ca="1" si="52"/>
        <v>122</v>
      </c>
      <c r="CP15" s="7">
        <f t="shared" ca="1" si="53"/>
        <v>628.97985705003248</v>
      </c>
      <c r="CQ15" s="7">
        <f t="array" aca="1" ref="CQ15" ca="1">(SUM(IF($AV$5:$BA$5=CQ$5,$AV15:$BA15))*BU15+SUM(IF($AV$5:$BA$5="B",$AV15:$BA15))*BR15)*$Q15</f>
        <v>3416.1964620189433</v>
      </c>
      <c r="CR15" s="7">
        <f t="array" aca="1" ref="CR15" ca="1">(SUM(IF($AV$5:$BA$5=CR$5,$AV15:$BA15))*BV15+SUM(IF($AV$5:$BA$5="B",$AV15:$BA15))*BS15)*$Q15</f>
        <v>122</v>
      </c>
      <c r="CS15" s="7">
        <f t="array" aca="1" ref="CS15" ca="1">(SUM(IF($AV$5:$BA$5=CS$5,$AV15:$BA15))*BW15+SUM(IF($AV$5:$BA$5="B",$AV15:$BA15))*BT15)*$Q15</f>
        <v>583.80353798105682</v>
      </c>
      <c r="CT15" s="7">
        <f t="array" aca="1" ref="CT15" ca="1">(SUM(IF($BF$5:$BL$5=CT$5,IF($BF$4:$BL$4="B",$BF15:$BL15)))*BU15+SUM(IF($BF$5:$BL$5=CT$5,IF($BF$4:$BL$4=CT$4,$BF15:$BL15)))+SUM(IF($BF$5:$BL$5="B",$BF15:$BL15))*BZ15)*$Q15</f>
        <v>0</v>
      </c>
      <c r="CU15" s="7">
        <f t="array" aca="1" ref="CU15" ca="1">(SUM(IF($BF$5:$BL$5=CU$5,IF($BF$4:$BL$4="B",$BF15:$BL15)))*BV15+SUM(IF($BF$5:$BL$5=CU$5,IF($BF$4:$BL$4=CU$4,$BF15:$BL15)))+SUM(IF($BF$5:$BL$5="B",$BF15:$BL15))*CA15)*$Q15</f>
        <v>0</v>
      </c>
      <c r="CV15" s="7">
        <f t="array" aca="1" ref="CV15" ca="1">(SUM(IF($BF$5:$BL$5=CV$5,IF($BF$4:$BL$4="B",$BF15:$BL15)))*BW15+SUM(IF($BF$5:$BL$5=CV$5,IF($BF$4:$BL$4=CV$4,$BF15:$BL15)))+SUM(IF($BF$5:$BL$5="B",$BF15:$BL15))*CB15)*$Q15</f>
        <v>0</v>
      </c>
      <c r="CW15" s="7"/>
      <c r="CX15" s="9">
        <f t="shared" si="72"/>
        <v>4000</v>
      </c>
      <c r="CY15" s="9">
        <f t="shared" si="98"/>
        <v>-3371.0201429499675</v>
      </c>
      <c r="CZ15" s="9">
        <f t="shared" si="99"/>
        <v>628.97985705003248</v>
      </c>
      <c r="DA15" s="9">
        <f t="shared" si="75"/>
        <v>122</v>
      </c>
      <c r="DB15" s="9">
        <f t="shared" si="100"/>
        <v>-750.97985705003248</v>
      </c>
      <c r="DC15" s="9">
        <f t="shared" si="101"/>
        <v>-628.97985705003248</v>
      </c>
      <c r="DD15" s="9">
        <f t="shared" si="78"/>
        <v>4000</v>
      </c>
      <c r="DE15" s="9">
        <f t="shared" ca="1" si="54"/>
        <v>-2845.0744164981111</v>
      </c>
      <c r="DF15" s="9">
        <f t="shared" ca="1" si="102"/>
        <v>1154.9255835018889</v>
      </c>
      <c r="DG15" s="9">
        <f t="shared" si="80"/>
        <v>122</v>
      </c>
      <c r="DH15" s="9">
        <f t="shared" ca="1" si="103"/>
        <v>-1276.9255835018887</v>
      </c>
      <c r="DI15" s="9">
        <f t="shared" ca="1" si="104"/>
        <v>-1154.9255835018887</v>
      </c>
      <c r="DJ15" s="9">
        <f t="shared" si="83"/>
        <v>4000</v>
      </c>
      <c r="DK15" s="9">
        <f t="shared" ca="1" si="55"/>
        <v>-3371.0201429499675</v>
      </c>
      <c r="DL15" s="9">
        <f t="shared" ca="1" si="105"/>
        <v>628.97985705003248</v>
      </c>
      <c r="DM15" s="9">
        <f t="shared" si="85"/>
        <v>122</v>
      </c>
      <c r="DN15" s="9">
        <f t="shared" ca="1" si="56"/>
        <v>-750.97985705003248</v>
      </c>
      <c r="DO15" s="9">
        <f t="shared" ca="1" si="106"/>
        <v>-628.97985705003248</v>
      </c>
      <c r="DP15" s="9">
        <f t="shared" si="87"/>
        <v>4000</v>
      </c>
      <c r="DQ15" s="9">
        <f t="shared" ca="1" si="57"/>
        <v>-3416.1964620189433</v>
      </c>
      <c r="DR15" s="9">
        <f t="shared" ca="1" si="107"/>
        <v>583.80353798105671</v>
      </c>
      <c r="DS15" s="9">
        <f t="shared" si="89"/>
        <v>122</v>
      </c>
      <c r="DT15" s="9">
        <f t="shared" ca="1" si="58"/>
        <v>-705.80353798105682</v>
      </c>
      <c r="DU15" s="9">
        <f t="shared" ca="1" si="108"/>
        <v>-583.80353798105682</v>
      </c>
    </row>
    <row r="16" spans="1:125" ht="14.45" x14ac:dyDescent="0.35">
      <c r="A16" s="1">
        <v>1000</v>
      </c>
      <c r="B16" s="14">
        <f t="shared" si="59"/>
        <v>0</v>
      </c>
      <c r="C16" s="9">
        <f t="shared" si="16"/>
        <v>0</v>
      </c>
      <c r="D16" s="14">
        <f t="shared" si="17"/>
        <v>502</v>
      </c>
      <c r="E16" s="34">
        <f t="shared" si="92"/>
        <v>0</v>
      </c>
      <c r="F16" s="15">
        <f t="shared" si="18"/>
        <v>0</v>
      </c>
      <c r="G16">
        <f t="shared" si="91"/>
        <v>10</v>
      </c>
      <c r="H16">
        <f t="shared" si="91"/>
        <v>1</v>
      </c>
      <c r="I16" s="5">
        <f>GenUnits!$V$12</f>
        <v>400</v>
      </c>
      <c r="J16" s="5">
        <f>GenUnits!$W$12</f>
        <v>122</v>
      </c>
      <c r="K16" s="14">
        <f t="shared" si="60"/>
        <v>502</v>
      </c>
      <c r="L16" s="14">
        <f t="shared" si="61"/>
        <v>502</v>
      </c>
      <c r="M16" s="14">
        <f t="shared" si="62"/>
        <v>122</v>
      </c>
      <c r="N16" s="34">
        <f>GenUnits!$V$11</f>
        <v>1297</v>
      </c>
      <c r="O16" s="34">
        <f>GenUnits!$W$11</f>
        <v>864</v>
      </c>
      <c r="P16" s="14">
        <f t="shared" si="19"/>
        <v>442</v>
      </c>
      <c r="Q16" s="14">
        <f t="shared" si="20"/>
        <v>1</v>
      </c>
      <c r="S16" s="7">
        <f t="shared" si="63"/>
        <v>502</v>
      </c>
      <c r="T16" s="7">
        <f t="shared" si="21"/>
        <v>122</v>
      </c>
      <c r="U16" s="7">
        <f t="shared" si="93"/>
        <v>624</v>
      </c>
      <c r="V16" s="7">
        <f t="shared" si="22"/>
        <v>5020</v>
      </c>
      <c r="W16" s="7">
        <f t="shared" si="23"/>
        <v>122</v>
      </c>
      <c r="X16" s="7">
        <f t="shared" si="94"/>
        <v>5142</v>
      </c>
      <c r="Y16" s="45"/>
      <c r="Z16" s="46" t="str">
        <f>$D16&amp;" MW"</f>
        <v>502 MW</v>
      </c>
      <c r="AA16" s="44">
        <f t="shared" si="66"/>
        <v>0</v>
      </c>
      <c r="AB16" s="7">
        <f t="shared" si="24"/>
        <v>502</v>
      </c>
      <c r="AC16" s="15">
        <f t="shared" si="25"/>
        <v>0</v>
      </c>
      <c r="AD16" s="8">
        <v>0</v>
      </c>
      <c r="AE16" s="15">
        <f t="shared" si="26"/>
        <v>0</v>
      </c>
      <c r="AF16" s="7">
        <f t="shared" si="67"/>
        <v>0</v>
      </c>
      <c r="AG16" s="7">
        <f t="shared" si="27"/>
        <v>122</v>
      </c>
      <c r="AH16" s="7">
        <f t="shared" si="95"/>
        <v>624</v>
      </c>
      <c r="AI16" s="7" t="b">
        <f t="shared" si="28"/>
        <v>1</v>
      </c>
      <c r="AJ16" s="7"/>
      <c r="AK16" s="7"/>
      <c r="AL16" s="7"/>
      <c r="AM16" s="7"/>
      <c r="AN16" s="7"/>
      <c r="AO16" s="7"/>
      <c r="AP16" s="7"/>
      <c r="AQ16" s="7"/>
      <c r="AR16" s="7"/>
      <c r="AS16" s="7"/>
      <c r="AT16" s="7"/>
      <c r="AU16" s="7"/>
      <c r="AV16" s="7">
        <f t="shared" si="29"/>
        <v>5020</v>
      </c>
      <c r="AW16" s="7">
        <f t="shared" si="30"/>
        <v>0</v>
      </c>
      <c r="AX16" s="7">
        <f t="shared" si="31"/>
        <v>0</v>
      </c>
      <c r="AY16" s="30">
        <f t="shared" si="32"/>
        <v>0</v>
      </c>
      <c r="AZ16" s="30">
        <f t="shared" si="33"/>
        <v>0</v>
      </c>
      <c r="BA16" s="30">
        <f t="shared" si="34"/>
        <v>122</v>
      </c>
      <c r="BB16" s="7">
        <f t="shared" si="96"/>
        <v>5142</v>
      </c>
      <c r="BC16" s="7" t="b">
        <f t="shared" si="35"/>
        <v>1</v>
      </c>
      <c r="BD16" s="7"/>
      <c r="BE16" s="7"/>
      <c r="BF16" s="7"/>
      <c r="BG16" s="7"/>
      <c r="BH16" s="7"/>
      <c r="BI16" s="7"/>
      <c r="BJ16" s="7"/>
      <c r="BK16" s="7"/>
      <c r="BL16" s="7"/>
      <c r="BM16" s="7"/>
      <c r="BN16" s="7"/>
      <c r="BO16" s="7"/>
      <c r="BP16" s="7">
        <f>MATCH($A16,GenUnits!$AX$43:$AX$48,1)</f>
        <v>6</v>
      </c>
      <c r="BQ16" s="7"/>
      <c r="BR16" s="2">
        <f t="shared" ca="1" si="36"/>
        <v>0.47992057321381393</v>
      </c>
      <c r="BS16" s="2">
        <f t="shared" ca="1" si="37"/>
        <v>0.15285248479983765</v>
      </c>
      <c r="BT16" s="2">
        <f t="shared" ca="1" si="38"/>
        <v>0.36722694198634848</v>
      </c>
      <c r="BU16" s="59">
        <f t="shared" ca="1" si="39"/>
        <v>0.56651358187649192</v>
      </c>
      <c r="BV16" s="59">
        <f t="shared" ca="1" si="40"/>
        <v>1</v>
      </c>
      <c r="BW16" s="59">
        <f t="shared" ca="1" si="41"/>
        <v>0.43348641812350802</v>
      </c>
      <c r="BX16" s="2">
        <f t="shared" si="42"/>
        <v>0</v>
      </c>
      <c r="BY16" s="2">
        <f t="shared" si="43"/>
        <v>1</v>
      </c>
      <c r="BZ16" s="60">
        <f t="shared" ca="1" si="44"/>
        <v>0.75844027670890501</v>
      </c>
      <c r="CA16" s="60">
        <f t="shared" ca="1" si="45"/>
        <v>0.24155972329109496</v>
      </c>
      <c r="CB16" s="52">
        <v>0</v>
      </c>
      <c r="CC16" s="2"/>
      <c r="CD16" s="7"/>
      <c r="CE16" s="7"/>
      <c r="CF16" s="7"/>
      <c r="CG16" s="7">
        <f t="shared" si="46"/>
        <v>0</v>
      </c>
      <c r="CH16" s="9">
        <f t="shared" si="97"/>
        <v>3744.0713053479012</v>
      </c>
      <c r="CI16" s="7">
        <f t="shared" si="71"/>
        <v>122</v>
      </c>
      <c r="CJ16" s="9">
        <f t="shared" si="47"/>
        <v>1275.928694652099</v>
      </c>
      <c r="CK16" s="7">
        <f t="shared" ca="1" si="48"/>
        <v>2467.7515874654314</v>
      </c>
      <c r="CL16" s="7">
        <f t="shared" ca="1" si="49"/>
        <v>785.96747684076524</v>
      </c>
      <c r="CM16" s="7">
        <f t="shared" ca="1" si="50"/>
        <v>1888.2809356938039</v>
      </c>
      <c r="CN16" s="7">
        <f t="shared" ca="1" si="51"/>
        <v>3744.0713053479012</v>
      </c>
      <c r="CO16" s="7">
        <f t="shared" ca="1" si="52"/>
        <v>122</v>
      </c>
      <c r="CP16" s="7">
        <f t="shared" ca="1" si="53"/>
        <v>1275.928694652099</v>
      </c>
      <c r="CQ16" s="7">
        <f t="array" aca="1" ref="CQ16" ca="1">(SUM(IF($AV$5:$BA$5=CQ$5,$AV16:$BA16))*BU16+SUM(IF($AV$5:$BA$5="B",$AV16:$BA16))*BR16)*$Q16</f>
        <v>2843.8981810199894</v>
      </c>
      <c r="CR16" s="7">
        <f t="array" aca="1" ref="CR16" ca="1">(SUM(IF($AV$5:$BA$5=CR$5,$AV16:$BA16))*BV16+SUM(IF($AV$5:$BA$5="B",$AV16:$BA16))*BS16)*$Q16</f>
        <v>122</v>
      </c>
      <c r="CS16" s="7">
        <f t="array" aca="1" ref="CS16" ca="1">(SUM(IF($AV$5:$BA$5=CS$5,$AV16:$BA16))*BW16+SUM(IF($AV$5:$BA$5="B",$AV16:$BA16))*BT16)*$Q16</f>
        <v>2176.1018189800102</v>
      </c>
      <c r="CT16" s="7">
        <f t="array" aca="1" ref="CT16" ca="1">(SUM(IF($BF$5:$BL$5=CT$5,IF($BF$4:$BL$4="B",$BF16:$BL16)))*BU16+SUM(IF($BF$5:$BL$5=CT$5,IF($BF$4:$BL$4=CT$4,$BF16:$BL16)))+SUM(IF($BF$5:$BL$5="B",$BF16:$BL16))*BZ16)*$Q16</f>
        <v>0</v>
      </c>
      <c r="CU16" s="7">
        <f t="array" aca="1" ref="CU16" ca="1">(SUM(IF($BF$5:$BL$5=CU$5,IF($BF$4:$BL$4="B",$BF16:$BL16)))*BV16+SUM(IF($BF$5:$BL$5=CU$5,IF($BF$4:$BL$4=CU$4,$BF16:$BL16)))+SUM(IF($BF$5:$BL$5="B",$BF16:$BL16))*CA16)*$Q16</f>
        <v>0</v>
      </c>
      <c r="CV16" s="7">
        <f t="array" aca="1" ref="CV16" ca="1">(SUM(IF($BF$5:$BL$5=CV$5,IF($BF$4:$BL$4="B",$BF16:$BL16)))*BW16+SUM(IF($BF$5:$BL$5=CV$5,IF($BF$4:$BL$4=CV$4,$BF16:$BL16)))+SUM(IF($BF$5:$BL$5="B",$BF16:$BL16))*CB16)*$Q16</f>
        <v>0</v>
      </c>
      <c r="CW16" s="7"/>
      <c r="CX16" s="9">
        <f t="shared" si="72"/>
        <v>5020</v>
      </c>
      <c r="CY16" s="9">
        <f t="shared" si="98"/>
        <v>-3744.0713053479012</v>
      </c>
      <c r="CZ16" s="9">
        <f t="shared" si="99"/>
        <v>1275.9286946520988</v>
      </c>
      <c r="DA16" s="9">
        <f t="shared" si="75"/>
        <v>122</v>
      </c>
      <c r="DB16" s="9">
        <f t="shared" si="100"/>
        <v>-1397.928694652099</v>
      </c>
      <c r="DC16" s="9">
        <f t="shared" si="101"/>
        <v>-1275.928694652099</v>
      </c>
      <c r="DD16" s="9">
        <f t="shared" si="78"/>
        <v>5020</v>
      </c>
      <c r="DE16" s="9">
        <f t="shared" ca="1" si="54"/>
        <v>-2467.7515874654314</v>
      </c>
      <c r="DF16" s="9">
        <f t="shared" ca="1" si="102"/>
        <v>2552.2484125345686</v>
      </c>
      <c r="DG16" s="9">
        <f t="shared" si="80"/>
        <v>122</v>
      </c>
      <c r="DH16" s="9">
        <f t="shared" ca="1" si="103"/>
        <v>-2674.2484125345691</v>
      </c>
      <c r="DI16" s="9">
        <f t="shared" ca="1" si="104"/>
        <v>-2552.2484125345691</v>
      </c>
      <c r="DJ16" s="9">
        <f t="shared" si="83"/>
        <v>5020</v>
      </c>
      <c r="DK16" s="9">
        <f t="shared" ca="1" si="55"/>
        <v>-3744.0713053479012</v>
      </c>
      <c r="DL16" s="9">
        <f t="shared" ca="1" si="105"/>
        <v>1275.9286946520988</v>
      </c>
      <c r="DM16" s="9">
        <f t="shared" si="85"/>
        <v>122</v>
      </c>
      <c r="DN16" s="9">
        <f t="shared" ca="1" si="56"/>
        <v>-1397.928694652099</v>
      </c>
      <c r="DO16" s="9">
        <f t="shared" ca="1" si="106"/>
        <v>-1275.928694652099</v>
      </c>
      <c r="DP16" s="9">
        <f t="shared" si="87"/>
        <v>5020</v>
      </c>
      <c r="DQ16" s="9">
        <f t="shared" ca="1" si="57"/>
        <v>-2843.8981810199894</v>
      </c>
      <c r="DR16" s="9">
        <f t="shared" ca="1" si="107"/>
        <v>2176.1018189800106</v>
      </c>
      <c r="DS16" s="9">
        <f t="shared" si="89"/>
        <v>122</v>
      </c>
      <c r="DT16" s="9">
        <f t="shared" ca="1" si="58"/>
        <v>-2298.1018189800102</v>
      </c>
      <c r="DU16" s="9">
        <f t="shared" ca="1" si="108"/>
        <v>-2176.1018189800102</v>
      </c>
    </row>
    <row r="17" spans="1:125" ht="14.45" x14ac:dyDescent="0.35">
      <c r="A17" s="14">
        <f>A16</f>
        <v>1000</v>
      </c>
      <c r="B17" s="14">
        <f t="shared" si="59"/>
        <v>0</v>
      </c>
      <c r="C17" s="9">
        <f t="shared" si="16"/>
        <v>0</v>
      </c>
      <c r="D17" s="14">
        <f t="shared" si="17"/>
        <v>502</v>
      </c>
      <c r="E17" s="34">
        <f t="shared" si="92"/>
        <v>10</v>
      </c>
      <c r="F17" s="15">
        <f t="shared" si="18"/>
        <v>0</v>
      </c>
      <c r="G17">
        <f t="shared" si="91"/>
        <v>10</v>
      </c>
      <c r="H17">
        <f t="shared" si="91"/>
        <v>1</v>
      </c>
      <c r="I17" s="5">
        <f>GenUnits!$V$12</f>
        <v>400</v>
      </c>
      <c r="J17" s="5">
        <f>GenUnits!$W$12</f>
        <v>122</v>
      </c>
      <c r="K17" s="14">
        <f t="shared" si="60"/>
        <v>502</v>
      </c>
      <c r="L17" s="14">
        <f t="shared" si="61"/>
        <v>502</v>
      </c>
      <c r="M17" s="14">
        <f t="shared" si="62"/>
        <v>122</v>
      </c>
      <c r="N17" s="34">
        <f>GenUnits!$V$11</f>
        <v>1297</v>
      </c>
      <c r="O17" s="34">
        <f>GenUnits!$W$11</f>
        <v>864</v>
      </c>
      <c r="P17" s="14">
        <f t="shared" si="19"/>
        <v>442</v>
      </c>
      <c r="Q17" s="14">
        <f t="shared" si="20"/>
        <v>1</v>
      </c>
      <c r="S17" s="7">
        <f t="shared" si="63"/>
        <v>502</v>
      </c>
      <c r="T17" s="7">
        <f t="shared" si="21"/>
        <v>122</v>
      </c>
      <c r="U17" s="7">
        <f t="shared" ref="U17:U19" si="109">SUM(S17:T17)</f>
        <v>624</v>
      </c>
      <c r="V17" s="7">
        <f t="shared" si="22"/>
        <v>5020</v>
      </c>
      <c r="W17" s="7">
        <f t="shared" si="23"/>
        <v>122</v>
      </c>
      <c r="X17" s="7">
        <f t="shared" ref="X17:X19" si="110">SUM(V17:W17)</f>
        <v>5142</v>
      </c>
      <c r="Y17" s="45"/>
      <c r="Z17" s="35"/>
      <c r="AA17" s="44">
        <f t="shared" si="66"/>
        <v>10</v>
      </c>
      <c r="AB17" s="7">
        <f t="shared" si="24"/>
        <v>502</v>
      </c>
      <c r="AC17" s="15">
        <f t="shared" si="25"/>
        <v>0</v>
      </c>
      <c r="AD17" s="8">
        <v>0</v>
      </c>
      <c r="AE17" s="15">
        <f t="shared" si="26"/>
        <v>0</v>
      </c>
      <c r="AF17" s="7">
        <f t="shared" si="67"/>
        <v>0</v>
      </c>
      <c r="AG17" s="7">
        <f t="shared" si="27"/>
        <v>122</v>
      </c>
      <c r="AH17" s="7">
        <f t="shared" ref="AH17:AH19" si="111">SUM(AB17:AG17)</f>
        <v>624</v>
      </c>
      <c r="AI17" s="7" t="b">
        <f t="shared" si="28"/>
        <v>1</v>
      </c>
      <c r="AJ17" s="7"/>
      <c r="AK17" s="7"/>
      <c r="AL17" s="7"/>
      <c r="AM17" s="7"/>
      <c r="AN17" s="7"/>
      <c r="AO17" s="7"/>
      <c r="AP17" s="7"/>
      <c r="AQ17" s="7"/>
      <c r="AR17" s="7"/>
      <c r="AS17" s="7"/>
      <c r="AT17" s="7"/>
      <c r="AU17" s="7"/>
      <c r="AV17" s="7">
        <f t="shared" si="29"/>
        <v>5020</v>
      </c>
      <c r="AW17" s="7">
        <f t="shared" si="30"/>
        <v>0</v>
      </c>
      <c r="AX17" s="7">
        <f t="shared" si="31"/>
        <v>0</v>
      </c>
      <c r="AY17" s="30">
        <f t="shared" si="32"/>
        <v>0</v>
      </c>
      <c r="AZ17" s="30">
        <f t="shared" si="33"/>
        <v>0</v>
      </c>
      <c r="BA17" s="30">
        <f t="shared" si="34"/>
        <v>122</v>
      </c>
      <c r="BB17" s="7">
        <f t="shared" ref="BB17:BB19" si="112">SUM(AV17:BA17)</f>
        <v>5142</v>
      </c>
      <c r="BC17" s="7" t="b">
        <f t="shared" si="35"/>
        <v>1</v>
      </c>
      <c r="BD17" s="7"/>
      <c r="BE17" s="7"/>
      <c r="BF17" s="7"/>
      <c r="BG17" s="7"/>
      <c r="BH17" s="7"/>
      <c r="BI17" s="7"/>
      <c r="BJ17" s="7"/>
      <c r="BK17" s="7"/>
      <c r="BL17" s="7"/>
      <c r="BM17" s="7"/>
      <c r="BN17" s="7"/>
      <c r="BO17" s="7"/>
      <c r="BP17" s="7">
        <f>MATCH($A17,GenUnits!$AX$43:$AX$48,1)</f>
        <v>6</v>
      </c>
      <c r="BQ17" s="7"/>
      <c r="BR17" s="2">
        <f t="shared" ca="1" si="36"/>
        <v>0.47992057321381393</v>
      </c>
      <c r="BS17" s="2">
        <f t="shared" ca="1" si="37"/>
        <v>0.15285248479983765</v>
      </c>
      <c r="BT17" s="2">
        <f t="shared" ca="1" si="38"/>
        <v>0.36722694198634848</v>
      </c>
      <c r="BU17" s="59">
        <f t="shared" ca="1" si="39"/>
        <v>0.56651358187649192</v>
      </c>
      <c r="BV17" s="59">
        <f t="shared" ca="1" si="40"/>
        <v>1</v>
      </c>
      <c r="BW17" s="59">
        <f t="shared" ca="1" si="41"/>
        <v>0.43348641812350802</v>
      </c>
      <c r="BX17" s="2">
        <f t="shared" si="42"/>
        <v>0</v>
      </c>
      <c r="BY17" s="2">
        <f t="shared" si="43"/>
        <v>1</v>
      </c>
      <c r="BZ17" s="60">
        <f t="shared" ca="1" si="44"/>
        <v>0.75844027670890501</v>
      </c>
      <c r="CA17" s="60">
        <f t="shared" ca="1" si="45"/>
        <v>0.24155972329109496</v>
      </c>
      <c r="CB17" s="52">
        <v>0</v>
      </c>
      <c r="CC17" s="2"/>
      <c r="CD17" s="7"/>
      <c r="CE17" s="7"/>
      <c r="CF17" s="7"/>
      <c r="CG17" s="7">
        <f t="shared" si="46"/>
        <v>10</v>
      </c>
      <c r="CH17" s="9">
        <f t="shared" ref="CH17:CH19" si="113">$V17-CJ17</f>
        <v>3744.0713053479012</v>
      </c>
      <c r="CI17" s="7">
        <f t="shared" si="71"/>
        <v>122</v>
      </c>
      <c r="CJ17" s="9">
        <f t="shared" si="47"/>
        <v>1275.928694652099</v>
      </c>
      <c r="CK17" s="7">
        <f t="shared" ca="1" si="48"/>
        <v>2467.7515874654314</v>
      </c>
      <c r="CL17" s="7">
        <f t="shared" ca="1" si="49"/>
        <v>785.96747684076524</v>
      </c>
      <c r="CM17" s="7">
        <f t="shared" ca="1" si="50"/>
        <v>1888.2809356938039</v>
      </c>
      <c r="CN17" s="7">
        <f t="shared" ca="1" si="51"/>
        <v>3744.0713053479012</v>
      </c>
      <c r="CO17" s="7">
        <f t="shared" ca="1" si="52"/>
        <v>122</v>
      </c>
      <c r="CP17" s="7">
        <f t="shared" ca="1" si="53"/>
        <v>1275.928694652099</v>
      </c>
      <c r="CQ17" s="7">
        <f t="array" aca="1" ref="CQ17" ca="1">(SUM(IF($AV$5:$BA$5=CQ$5,$AV17:$BA17))*BU17+SUM(IF($AV$5:$BA$5="B",$AV17:$BA17))*BR17)*$Q17</f>
        <v>2843.8981810199894</v>
      </c>
      <c r="CR17" s="7">
        <f t="array" aca="1" ref="CR17" ca="1">(SUM(IF($AV$5:$BA$5=CR$5,$AV17:$BA17))*BV17+SUM(IF($AV$5:$BA$5="B",$AV17:$BA17))*BS17)*$Q17</f>
        <v>122</v>
      </c>
      <c r="CS17" s="7">
        <f t="array" aca="1" ref="CS17" ca="1">(SUM(IF($AV$5:$BA$5=CS$5,$AV17:$BA17))*BW17+SUM(IF($AV$5:$BA$5="B",$AV17:$BA17))*BT17)*$Q17</f>
        <v>2176.1018189800102</v>
      </c>
      <c r="CT17" s="7">
        <f t="array" aca="1" ref="CT17" ca="1">(SUM(IF($BF$5:$BL$5=CT$5,IF($BF$4:$BL$4="B",$BF17:$BL17)))*BU17+SUM(IF($BF$5:$BL$5=CT$5,IF($BF$4:$BL$4=CT$4,$BF17:$BL17)))+SUM(IF($BF$5:$BL$5="B",$BF17:$BL17))*BZ17)*$Q17</f>
        <v>0</v>
      </c>
      <c r="CU17" s="7">
        <f t="array" aca="1" ref="CU17" ca="1">(SUM(IF($BF$5:$BL$5=CU$5,IF($BF$4:$BL$4="B",$BF17:$BL17)))*BV17+SUM(IF($BF$5:$BL$5=CU$5,IF($BF$4:$BL$4=CU$4,$BF17:$BL17)))+SUM(IF($BF$5:$BL$5="B",$BF17:$BL17))*CA17)*$Q17</f>
        <v>0</v>
      </c>
      <c r="CV17" s="7">
        <f t="array" aca="1" ref="CV17" ca="1">(SUM(IF($BF$5:$BL$5=CV$5,IF($BF$4:$BL$4="B",$BF17:$BL17)))*BW17+SUM(IF($BF$5:$BL$5=CV$5,IF($BF$4:$BL$4=CV$4,$BF17:$BL17)))+SUM(IF($BF$5:$BL$5="B",$BF17:$BL17))*CB17)*$Q17</f>
        <v>0</v>
      </c>
      <c r="CW17" s="7"/>
      <c r="CX17" s="9">
        <f t="shared" si="72"/>
        <v>5020</v>
      </c>
      <c r="CY17" s="9">
        <f t="shared" ref="CY17:CY19" si="114">-CH17</f>
        <v>-3744.0713053479012</v>
      </c>
      <c r="CZ17" s="9">
        <f t="shared" ref="CZ17:CZ19" si="115">SUM(CX17:CY17)</f>
        <v>1275.9286946520988</v>
      </c>
      <c r="DA17" s="9">
        <f t="shared" si="75"/>
        <v>122</v>
      </c>
      <c r="DB17" s="9">
        <f t="shared" ref="DB17:DB19" si="116">-SUM(CI17:CJ17)</f>
        <v>-1397.928694652099</v>
      </c>
      <c r="DC17" s="9">
        <f t="shared" ref="DC17:DC19" si="117">SUM(DA17:DB17)</f>
        <v>-1275.928694652099</v>
      </c>
      <c r="DD17" s="9">
        <f t="shared" si="78"/>
        <v>5020</v>
      </c>
      <c r="DE17" s="9">
        <f t="shared" ca="1" si="54"/>
        <v>-2467.7515874654314</v>
      </c>
      <c r="DF17" s="9">
        <f t="shared" ref="DF17:DF19" ca="1" si="118">SUM(DD17:DE17)</f>
        <v>2552.2484125345686</v>
      </c>
      <c r="DG17" s="9">
        <f t="shared" si="80"/>
        <v>122</v>
      </c>
      <c r="DH17" s="9">
        <f t="shared" ref="DH17:DH19" ca="1" si="119">-SUM(CL17:CM17)</f>
        <v>-2674.2484125345691</v>
      </c>
      <c r="DI17" s="9">
        <f t="shared" ref="DI17:DI19" ca="1" si="120">SUM(DG17:DH17)</f>
        <v>-2552.2484125345691</v>
      </c>
      <c r="DJ17" s="9">
        <f t="shared" si="83"/>
        <v>5020</v>
      </c>
      <c r="DK17" s="9">
        <f t="shared" ca="1" si="55"/>
        <v>-3744.0713053479012</v>
      </c>
      <c r="DL17" s="9">
        <f t="shared" ref="DL17:DL19" ca="1" si="121">SUM(DJ17:DK17)</f>
        <v>1275.9286946520988</v>
      </c>
      <c r="DM17" s="9">
        <f t="shared" si="85"/>
        <v>122</v>
      </c>
      <c r="DN17" s="9">
        <f t="shared" ca="1" si="56"/>
        <v>-1397.928694652099</v>
      </c>
      <c r="DO17" s="9">
        <f t="shared" ref="DO17:DO19" ca="1" si="122">SUM(DM17:DN17)</f>
        <v>-1275.928694652099</v>
      </c>
      <c r="DP17" s="9">
        <f t="shared" si="87"/>
        <v>5020</v>
      </c>
      <c r="DQ17" s="9">
        <f t="shared" ca="1" si="57"/>
        <v>-2843.8981810199894</v>
      </c>
      <c r="DR17" s="9">
        <f t="shared" ref="DR17:DR19" ca="1" si="123">SUM(DP17:DQ17)</f>
        <v>2176.1018189800106</v>
      </c>
      <c r="DS17" s="9">
        <f t="shared" si="89"/>
        <v>122</v>
      </c>
      <c r="DT17" s="9">
        <f t="shared" ca="1" si="58"/>
        <v>-2298.1018189800102</v>
      </c>
      <c r="DU17" s="9">
        <f t="shared" ref="DU17:DU19" ca="1" si="124">SUM(DS17:DT17)</f>
        <v>-2176.1018189800102</v>
      </c>
    </row>
    <row r="18" spans="1:125" ht="14.45" x14ac:dyDescent="0.35">
      <c r="A18" s="14">
        <f>A17</f>
        <v>1000</v>
      </c>
      <c r="B18" s="14">
        <f t="shared" si="59"/>
        <v>0</v>
      </c>
      <c r="C18" s="9">
        <f t="shared" si="16"/>
        <v>0</v>
      </c>
      <c r="D18" s="14">
        <f t="shared" si="17"/>
        <v>502</v>
      </c>
      <c r="E18" s="34">
        <f t="shared" si="92"/>
        <v>100</v>
      </c>
      <c r="F18" s="15">
        <f t="shared" si="18"/>
        <v>0</v>
      </c>
      <c r="G18">
        <f t="shared" si="91"/>
        <v>10</v>
      </c>
      <c r="H18">
        <f t="shared" si="91"/>
        <v>1</v>
      </c>
      <c r="I18" s="5">
        <f>GenUnits!$V$12</f>
        <v>400</v>
      </c>
      <c r="J18" s="5">
        <f>GenUnits!$W$12</f>
        <v>122</v>
      </c>
      <c r="K18" s="14">
        <f t="shared" si="60"/>
        <v>502</v>
      </c>
      <c r="L18" s="14">
        <f t="shared" si="61"/>
        <v>502</v>
      </c>
      <c r="M18" s="14">
        <f t="shared" si="62"/>
        <v>122</v>
      </c>
      <c r="N18" s="34">
        <f>GenUnits!$V$11</f>
        <v>1297</v>
      </c>
      <c r="O18" s="34">
        <f>GenUnits!$W$11</f>
        <v>864</v>
      </c>
      <c r="P18" s="14">
        <f t="shared" si="19"/>
        <v>442</v>
      </c>
      <c r="Q18" s="14">
        <f t="shared" si="20"/>
        <v>1</v>
      </c>
      <c r="S18" s="7">
        <f t="shared" si="63"/>
        <v>502</v>
      </c>
      <c r="T18" s="7">
        <f t="shared" si="21"/>
        <v>122</v>
      </c>
      <c r="U18" s="7">
        <f t="shared" si="109"/>
        <v>624</v>
      </c>
      <c r="V18" s="7">
        <f t="shared" si="22"/>
        <v>5020</v>
      </c>
      <c r="W18" s="7">
        <f t="shared" si="23"/>
        <v>122</v>
      </c>
      <c r="X18" s="7">
        <f t="shared" si="110"/>
        <v>5142</v>
      </c>
      <c r="Y18" s="45"/>
      <c r="Z18" s="35"/>
      <c r="AA18" s="44">
        <f t="shared" si="66"/>
        <v>100</v>
      </c>
      <c r="AB18" s="7">
        <f t="shared" si="24"/>
        <v>502</v>
      </c>
      <c r="AC18" s="15">
        <f t="shared" si="25"/>
        <v>0</v>
      </c>
      <c r="AD18" s="8">
        <v>0</v>
      </c>
      <c r="AE18" s="15">
        <f t="shared" si="26"/>
        <v>0</v>
      </c>
      <c r="AF18" s="7">
        <f t="shared" si="67"/>
        <v>0</v>
      </c>
      <c r="AG18" s="7">
        <f t="shared" si="27"/>
        <v>122</v>
      </c>
      <c r="AH18" s="7">
        <f t="shared" si="111"/>
        <v>624</v>
      </c>
      <c r="AI18" s="7" t="b">
        <f t="shared" si="28"/>
        <v>1</v>
      </c>
      <c r="AJ18" s="7"/>
      <c r="AK18" s="7"/>
      <c r="AL18" s="7"/>
      <c r="AM18" s="7"/>
      <c r="AN18" s="7"/>
      <c r="AO18" s="7"/>
      <c r="AP18" s="7"/>
      <c r="AQ18" s="7"/>
      <c r="AR18" s="7"/>
      <c r="AS18" s="7"/>
      <c r="AT18" s="7"/>
      <c r="AU18" s="7"/>
      <c r="AV18" s="7">
        <f t="shared" si="29"/>
        <v>5020</v>
      </c>
      <c r="AW18" s="7">
        <f t="shared" si="30"/>
        <v>0</v>
      </c>
      <c r="AX18" s="7">
        <f t="shared" si="31"/>
        <v>0</v>
      </c>
      <c r="AY18" s="30">
        <f t="shared" si="32"/>
        <v>0</v>
      </c>
      <c r="AZ18" s="30">
        <f t="shared" si="33"/>
        <v>0</v>
      </c>
      <c r="BA18" s="30">
        <f t="shared" si="34"/>
        <v>122</v>
      </c>
      <c r="BB18" s="7">
        <f t="shared" si="112"/>
        <v>5142</v>
      </c>
      <c r="BC18" s="7" t="b">
        <f t="shared" si="35"/>
        <v>1</v>
      </c>
      <c r="BD18" s="7"/>
      <c r="BE18" s="7"/>
      <c r="BF18" s="7"/>
      <c r="BG18" s="7"/>
      <c r="BH18" s="7"/>
      <c r="BI18" s="7"/>
      <c r="BJ18" s="7"/>
      <c r="BK18" s="7"/>
      <c r="BL18" s="7"/>
      <c r="BM18" s="7"/>
      <c r="BN18" s="7"/>
      <c r="BO18" s="7"/>
      <c r="BP18" s="7">
        <f>MATCH($A18,GenUnits!$AX$43:$AX$48,1)</f>
        <v>6</v>
      </c>
      <c r="BQ18" s="7"/>
      <c r="BR18" s="2">
        <f t="shared" ca="1" si="36"/>
        <v>0.47992057321381393</v>
      </c>
      <c r="BS18" s="2">
        <f t="shared" ca="1" si="37"/>
        <v>0.15285248479983765</v>
      </c>
      <c r="BT18" s="2">
        <f t="shared" ca="1" si="38"/>
        <v>0.36722694198634848</v>
      </c>
      <c r="BU18" s="59">
        <f t="shared" ca="1" si="39"/>
        <v>0.56651358187649192</v>
      </c>
      <c r="BV18" s="59">
        <f t="shared" ca="1" si="40"/>
        <v>1</v>
      </c>
      <c r="BW18" s="59">
        <f t="shared" ca="1" si="41"/>
        <v>0.43348641812350802</v>
      </c>
      <c r="BX18" s="2">
        <f t="shared" si="42"/>
        <v>0</v>
      </c>
      <c r="BY18" s="2">
        <f t="shared" si="43"/>
        <v>1</v>
      </c>
      <c r="BZ18" s="60">
        <f t="shared" ca="1" si="44"/>
        <v>0.75844027670890501</v>
      </c>
      <c r="CA18" s="60">
        <f t="shared" ca="1" si="45"/>
        <v>0.24155972329109496</v>
      </c>
      <c r="CB18" s="52">
        <v>0</v>
      </c>
      <c r="CC18" s="2"/>
      <c r="CD18" s="7"/>
      <c r="CE18" s="7"/>
      <c r="CF18" s="7"/>
      <c r="CG18" s="7">
        <f t="shared" si="46"/>
        <v>100</v>
      </c>
      <c r="CH18" s="9">
        <f t="shared" si="113"/>
        <v>3744.0713053479012</v>
      </c>
      <c r="CI18" s="7">
        <f t="shared" si="71"/>
        <v>122</v>
      </c>
      <c r="CJ18" s="9">
        <f t="shared" si="47"/>
        <v>1275.928694652099</v>
      </c>
      <c r="CK18" s="7">
        <f t="shared" ca="1" si="48"/>
        <v>2467.7515874654314</v>
      </c>
      <c r="CL18" s="7">
        <f t="shared" ca="1" si="49"/>
        <v>785.96747684076524</v>
      </c>
      <c r="CM18" s="7">
        <f t="shared" ca="1" si="50"/>
        <v>1888.2809356938039</v>
      </c>
      <c r="CN18" s="7">
        <f t="shared" ca="1" si="51"/>
        <v>3744.0713053479012</v>
      </c>
      <c r="CO18" s="7">
        <f t="shared" ca="1" si="52"/>
        <v>122</v>
      </c>
      <c r="CP18" s="7">
        <f t="shared" ca="1" si="53"/>
        <v>1275.928694652099</v>
      </c>
      <c r="CQ18" s="7">
        <f t="array" aca="1" ref="CQ18" ca="1">(SUM(IF($AV$5:$BA$5=CQ$5,$AV18:$BA18))*BU18+SUM(IF($AV$5:$BA$5="B",$AV18:$BA18))*BR18)*$Q18</f>
        <v>2843.8981810199894</v>
      </c>
      <c r="CR18" s="7">
        <f t="array" aca="1" ref="CR18" ca="1">(SUM(IF($AV$5:$BA$5=CR$5,$AV18:$BA18))*BV18+SUM(IF($AV$5:$BA$5="B",$AV18:$BA18))*BS18)*$Q18</f>
        <v>122</v>
      </c>
      <c r="CS18" s="7">
        <f t="array" aca="1" ref="CS18" ca="1">(SUM(IF($AV$5:$BA$5=CS$5,$AV18:$BA18))*BW18+SUM(IF($AV$5:$BA$5="B",$AV18:$BA18))*BT18)*$Q18</f>
        <v>2176.1018189800102</v>
      </c>
      <c r="CT18" s="7">
        <f t="array" aca="1" ref="CT18" ca="1">(SUM(IF($BF$5:$BL$5=CT$5,IF($BF$4:$BL$4="B",$BF18:$BL18)))*BU18+SUM(IF($BF$5:$BL$5=CT$5,IF($BF$4:$BL$4=CT$4,$BF18:$BL18)))+SUM(IF($BF$5:$BL$5="B",$BF18:$BL18))*BZ18)*$Q18</f>
        <v>0</v>
      </c>
      <c r="CU18" s="7">
        <f t="array" aca="1" ref="CU18" ca="1">(SUM(IF($BF$5:$BL$5=CU$5,IF($BF$4:$BL$4="B",$BF18:$BL18)))*BV18+SUM(IF($BF$5:$BL$5=CU$5,IF($BF$4:$BL$4=CU$4,$BF18:$BL18)))+SUM(IF($BF$5:$BL$5="B",$BF18:$BL18))*CA18)*$Q18</f>
        <v>0</v>
      </c>
      <c r="CV18" s="7">
        <f t="array" aca="1" ref="CV18" ca="1">(SUM(IF($BF$5:$BL$5=CV$5,IF($BF$4:$BL$4="B",$BF18:$BL18)))*BW18+SUM(IF($BF$5:$BL$5=CV$5,IF($BF$4:$BL$4=CV$4,$BF18:$BL18)))+SUM(IF($BF$5:$BL$5="B",$BF18:$BL18))*CB18)*$Q18</f>
        <v>0</v>
      </c>
      <c r="CW18" s="7"/>
      <c r="CX18" s="9">
        <f t="shared" si="72"/>
        <v>5020</v>
      </c>
      <c r="CY18" s="9">
        <f t="shared" si="114"/>
        <v>-3744.0713053479012</v>
      </c>
      <c r="CZ18" s="9">
        <f t="shared" si="115"/>
        <v>1275.9286946520988</v>
      </c>
      <c r="DA18" s="9">
        <f t="shared" si="75"/>
        <v>122</v>
      </c>
      <c r="DB18" s="9">
        <f t="shared" si="116"/>
        <v>-1397.928694652099</v>
      </c>
      <c r="DC18" s="9">
        <f t="shared" si="117"/>
        <v>-1275.928694652099</v>
      </c>
      <c r="DD18" s="9">
        <f t="shared" si="78"/>
        <v>5020</v>
      </c>
      <c r="DE18" s="9">
        <f t="shared" ca="1" si="54"/>
        <v>-2467.7515874654314</v>
      </c>
      <c r="DF18" s="9">
        <f t="shared" ca="1" si="118"/>
        <v>2552.2484125345686</v>
      </c>
      <c r="DG18" s="9">
        <f t="shared" si="80"/>
        <v>122</v>
      </c>
      <c r="DH18" s="9">
        <f t="shared" ca="1" si="119"/>
        <v>-2674.2484125345691</v>
      </c>
      <c r="DI18" s="9">
        <f t="shared" ca="1" si="120"/>
        <v>-2552.2484125345691</v>
      </c>
      <c r="DJ18" s="9">
        <f t="shared" si="83"/>
        <v>5020</v>
      </c>
      <c r="DK18" s="9">
        <f t="shared" ca="1" si="55"/>
        <v>-3744.0713053479012</v>
      </c>
      <c r="DL18" s="9">
        <f t="shared" ca="1" si="121"/>
        <v>1275.9286946520988</v>
      </c>
      <c r="DM18" s="9">
        <f t="shared" si="85"/>
        <v>122</v>
      </c>
      <c r="DN18" s="9">
        <f t="shared" ca="1" si="56"/>
        <v>-1397.928694652099</v>
      </c>
      <c r="DO18" s="9">
        <f t="shared" ca="1" si="122"/>
        <v>-1275.928694652099</v>
      </c>
      <c r="DP18" s="9">
        <f t="shared" si="87"/>
        <v>5020</v>
      </c>
      <c r="DQ18" s="9">
        <f t="shared" ca="1" si="57"/>
        <v>-2843.8981810199894</v>
      </c>
      <c r="DR18" s="9">
        <f t="shared" ca="1" si="123"/>
        <v>2176.1018189800106</v>
      </c>
      <c r="DS18" s="9">
        <f t="shared" si="89"/>
        <v>122</v>
      </c>
      <c r="DT18" s="9">
        <f t="shared" ca="1" si="58"/>
        <v>-2298.1018189800102</v>
      </c>
      <c r="DU18" s="9">
        <f t="shared" ca="1" si="124"/>
        <v>-2176.1018189800102</v>
      </c>
    </row>
    <row r="19" spans="1:125" ht="14.45" x14ac:dyDescent="0.35">
      <c r="A19" s="14">
        <f>A18</f>
        <v>1000</v>
      </c>
      <c r="B19" s="14">
        <f t="shared" si="59"/>
        <v>0</v>
      </c>
      <c r="C19" s="9">
        <f t="shared" si="16"/>
        <v>0</v>
      </c>
      <c r="D19" s="14">
        <f t="shared" si="17"/>
        <v>502</v>
      </c>
      <c r="E19" s="34">
        <f t="shared" si="92"/>
        <v>220</v>
      </c>
      <c r="F19" s="15">
        <f t="shared" si="18"/>
        <v>0</v>
      </c>
      <c r="G19">
        <f t="shared" si="91"/>
        <v>10</v>
      </c>
      <c r="H19">
        <f t="shared" si="91"/>
        <v>1</v>
      </c>
      <c r="I19" s="5">
        <f>GenUnits!$V$12</f>
        <v>400</v>
      </c>
      <c r="J19" s="5">
        <f>GenUnits!$W$12</f>
        <v>122</v>
      </c>
      <c r="K19" s="14">
        <f t="shared" si="60"/>
        <v>502</v>
      </c>
      <c r="L19" s="14">
        <f t="shared" si="61"/>
        <v>502</v>
      </c>
      <c r="M19" s="14">
        <f t="shared" si="62"/>
        <v>122</v>
      </c>
      <c r="N19" s="34">
        <f>GenUnits!$V$11</f>
        <v>1297</v>
      </c>
      <c r="O19" s="34">
        <f>GenUnits!$W$11</f>
        <v>864</v>
      </c>
      <c r="P19" s="14">
        <f t="shared" si="19"/>
        <v>442</v>
      </c>
      <c r="Q19" s="14">
        <f t="shared" si="20"/>
        <v>1</v>
      </c>
      <c r="S19" s="7">
        <f t="shared" si="63"/>
        <v>502</v>
      </c>
      <c r="T19" s="7">
        <f t="shared" si="21"/>
        <v>122</v>
      </c>
      <c r="U19" s="7">
        <f t="shared" si="109"/>
        <v>624</v>
      </c>
      <c r="V19" s="7">
        <f t="shared" si="22"/>
        <v>5020</v>
      </c>
      <c r="W19" s="7">
        <f t="shared" si="23"/>
        <v>122</v>
      </c>
      <c r="X19" s="7">
        <f t="shared" si="110"/>
        <v>5142</v>
      </c>
      <c r="Y19" s="45"/>
      <c r="Z19" s="35"/>
      <c r="AA19" s="44">
        <f t="shared" si="66"/>
        <v>220</v>
      </c>
      <c r="AB19" s="7">
        <f t="shared" si="24"/>
        <v>502</v>
      </c>
      <c r="AC19" s="15">
        <f t="shared" si="25"/>
        <v>0</v>
      </c>
      <c r="AD19" s="8">
        <v>0</v>
      </c>
      <c r="AE19" s="15">
        <f t="shared" si="26"/>
        <v>0</v>
      </c>
      <c r="AF19" s="7">
        <f t="shared" si="67"/>
        <v>0</v>
      </c>
      <c r="AG19" s="7">
        <f t="shared" si="27"/>
        <v>122</v>
      </c>
      <c r="AH19" s="7">
        <f t="shared" si="111"/>
        <v>624</v>
      </c>
      <c r="AI19" s="7" t="b">
        <f t="shared" si="28"/>
        <v>1</v>
      </c>
      <c r="AJ19" s="7"/>
      <c r="AK19" s="7"/>
      <c r="AL19" s="7"/>
      <c r="AM19" s="7"/>
      <c r="AN19" s="7"/>
      <c r="AO19" s="7"/>
      <c r="AP19" s="7"/>
      <c r="AQ19" s="7"/>
      <c r="AR19" s="7"/>
      <c r="AS19" s="7"/>
      <c r="AT19" s="7"/>
      <c r="AU19" s="7"/>
      <c r="AV19" s="7">
        <f t="shared" si="29"/>
        <v>5020</v>
      </c>
      <c r="AW19" s="7">
        <f t="shared" si="30"/>
        <v>0</v>
      </c>
      <c r="AX19" s="7">
        <f t="shared" si="31"/>
        <v>0</v>
      </c>
      <c r="AY19" s="30">
        <f t="shared" si="32"/>
        <v>0</v>
      </c>
      <c r="AZ19" s="30">
        <f t="shared" si="33"/>
        <v>0</v>
      </c>
      <c r="BA19" s="30">
        <f t="shared" si="34"/>
        <v>122</v>
      </c>
      <c r="BB19" s="7">
        <f t="shared" si="112"/>
        <v>5142</v>
      </c>
      <c r="BC19" s="7" t="b">
        <f t="shared" si="35"/>
        <v>1</v>
      </c>
      <c r="BD19" s="7"/>
      <c r="BE19" s="7"/>
      <c r="BF19" s="7"/>
      <c r="BG19" s="7"/>
      <c r="BH19" s="7"/>
      <c r="BI19" s="7"/>
      <c r="BJ19" s="7"/>
      <c r="BK19" s="7"/>
      <c r="BL19" s="7"/>
      <c r="BM19" s="7"/>
      <c r="BN19" s="7"/>
      <c r="BO19" s="7"/>
      <c r="BP19" s="7">
        <f>MATCH($A19,GenUnits!$AX$43:$AX$48,1)</f>
        <v>6</v>
      </c>
      <c r="BQ19" s="7"/>
      <c r="BR19" s="2">
        <f t="shared" ca="1" si="36"/>
        <v>0.47992057321381393</v>
      </c>
      <c r="BS19" s="2">
        <f t="shared" ca="1" si="37"/>
        <v>0.15285248479983765</v>
      </c>
      <c r="BT19" s="2">
        <f t="shared" ca="1" si="38"/>
        <v>0.36722694198634848</v>
      </c>
      <c r="BU19" s="59">
        <f t="shared" ca="1" si="39"/>
        <v>0.56651358187649192</v>
      </c>
      <c r="BV19" s="59">
        <f t="shared" ca="1" si="40"/>
        <v>1</v>
      </c>
      <c r="BW19" s="59">
        <f t="shared" ca="1" si="41"/>
        <v>0.43348641812350802</v>
      </c>
      <c r="BX19" s="2">
        <f t="shared" si="42"/>
        <v>0</v>
      </c>
      <c r="BY19" s="2">
        <f t="shared" si="43"/>
        <v>1</v>
      </c>
      <c r="BZ19" s="60">
        <f t="shared" ca="1" si="44"/>
        <v>0.75844027670890501</v>
      </c>
      <c r="CA19" s="60">
        <f t="shared" ca="1" si="45"/>
        <v>0.24155972329109496</v>
      </c>
      <c r="CB19" s="52">
        <v>0</v>
      </c>
      <c r="CC19" s="2"/>
      <c r="CD19" s="7"/>
      <c r="CE19" s="7"/>
      <c r="CF19" s="7"/>
      <c r="CG19" s="7">
        <f t="shared" si="46"/>
        <v>220</v>
      </c>
      <c r="CH19" s="9">
        <f t="shared" si="113"/>
        <v>3744.0713053479012</v>
      </c>
      <c r="CI19" s="7">
        <f t="shared" si="71"/>
        <v>122</v>
      </c>
      <c r="CJ19" s="9">
        <f t="shared" si="47"/>
        <v>1275.928694652099</v>
      </c>
      <c r="CK19" s="7">
        <f t="shared" ca="1" si="48"/>
        <v>2467.7515874654314</v>
      </c>
      <c r="CL19" s="7">
        <f t="shared" ca="1" si="49"/>
        <v>785.96747684076524</v>
      </c>
      <c r="CM19" s="7">
        <f t="shared" ca="1" si="50"/>
        <v>1888.2809356938039</v>
      </c>
      <c r="CN19" s="7">
        <f t="shared" ca="1" si="51"/>
        <v>3744.0713053479012</v>
      </c>
      <c r="CO19" s="7">
        <f t="shared" ca="1" si="52"/>
        <v>122</v>
      </c>
      <c r="CP19" s="7">
        <f t="shared" ca="1" si="53"/>
        <v>1275.928694652099</v>
      </c>
      <c r="CQ19" s="7">
        <f t="array" aca="1" ref="CQ19" ca="1">(SUM(IF($AV$5:$BA$5=CQ$5,$AV19:$BA19))*BU19+SUM(IF($AV$5:$BA$5="B",$AV19:$BA19))*BR19)*$Q19</f>
        <v>2843.8981810199894</v>
      </c>
      <c r="CR19" s="7">
        <f t="array" aca="1" ref="CR19" ca="1">(SUM(IF($AV$5:$BA$5=CR$5,$AV19:$BA19))*BV19+SUM(IF($AV$5:$BA$5="B",$AV19:$BA19))*BS19)*$Q19</f>
        <v>122</v>
      </c>
      <c r="CS19" s="7">
        <f t="array" aca="1" ref="CS19" ca="1">(SUM(IF($AV$5:$BA$5=CS$5,$AV19:$BA19))*BW19+SUM(IF($AV$5:$BA$5="B",$AV19:$BA19))*BT19)*$Q19</f>
        <v>2176.1018189800102</v>
      </c>
      <c r="CT19" s="7">
        <f t="array" aca="1" ref="CT19" ca="1">(SUM(IF($BF$5:$BL$5=CT$5,IF($BF$4:$BL$4="B",$BF19:$BL19)))*BU19+SUM(IF($BF$5:$BL$5=CT$5,IF($BF$4:$BL$4=CT$4,$BF19:$BL19)))+SUM(IF($BF$5:$BL$5="B",$BF19:$BL19))*BZ19)*$Q19</f>
        <v>0</v>
      </c>
      <c r="CU19" s="7">
        <f t="array" aca="1" ref="CU19" ca="1">(SUM(IF($BF$5:$BL$5=CU$5,IF($BF$4:$BL$4="B",$BF19:$BL19)))*BV19+SUM(IF($BF$5:$BL$5=CU$5,IF($BF$4:$BL$4=CU$4,$BF19:$BL19)))+SUM(IF($BF$5:$BL$5="B",$BF19:$BL19))*CA19)*$Q19</f>
        <v>0</v>
      </c>
      <c r="CV19" s="7">
        <f t="array" aca="1" ref="CV19" ca="1">(SUM(IF($BF$5:$BL$5=CV$5,IF($BF$4:$BL$4="B",$BF19:$BL19)))*BW19+SUM(IF($BF$5:$BL$5=CV$5,IF($BF$4:$BL$4=CV$4,$BF19:$BL19)))+SUM(IF($BF$5:$BL$5="B",$BF19:$BL19))*CB19)*$Q19</f>
        <v>0</v>
      </c>
      <c r="CW19" s="7"/>
      <c r="CX19" s="9">
        <f t="shared" si="72"/>
        <v>5020</v>
      </c>
      <c r="CY19" s="9">
        <f t="shared" si="114"/>
        <v>-3744.0713053479012</v>
      </c>
      <c r="CZ19" s="9">
        <f t="shared" si="115"/>
        <v>1275.9286946520988</v>
      </c>
      <c r="DA19" s="9">
        <f t="shared" si="75"/>
        <v>122</v>
      </c>
      <c r="DB19" s="9">
        <f t="shared" si="116"/>
        <v>-1397.928694652099</v>
      </c>
      <c r="DC19" s="9">
        <f t="shared" si="117"/>
        <v>-1275.928694652099</v>
      </c>
      <c r="DD19" s="9">
        <f t="shared" si="78"/>
        <v>5020</v>
      </c>
      <c r="DE19" s="9">
        <f t="shared" ca="1" si="54"/>
        <v>-2467.7515874654314</v>
      </c>
      <c r="DF19" s="9">
        <f t="shared" ca="1" si="118"/>
        <v>2552.2484125345686</v>
      </c>
      <c r="DG19" s="9">
        <f t="shared" si="80"/>
        <v>122</v>
      </c>
      <c r="DH19" s="9">
        <f t="shared" ca="1" si="119"/>
        <v>-2674.2484125345691</v>
      </c>
      <c r="DI19" s="9">
        <f t="shared" ca="1" si="120"/>
        <v>-2552.2484125345691</v>
      </c>
      <c r="DJ19" s="9">
        <f t="shared" si="83"/>
        <v>5020</v>
      </c>
      <c r="DK19" s="9">
        <f t="shared" ca="1" si="55"/>
        <v>-3744.0713053479012</v>
      </c>
      <c r="DL19" s="9">
        <f t="shared" ca="1" si="121"/>
        <v>1275.9286946520988</v>
      </c>
      <c r="DM19" s="9">
        <f t="shared" si="85"/>
        <v>122</v>
      </c>
      <c r="DN19" s="9">
        <f t="shared" ca="1" si="56"/>
        <v>-1397.928694652099</v>
      </c>
      <c r="DO19" s="9">
        <f t="shared" ca="1" si="122"/>
        <v>-1275.928694652099</v>
      </c>
      <c r="DP19" s="9">
        <f t="shared" si="87"/>
        <v>5020</v>
      </c>
      <c r="DQ19" s="9">
        <f t="shared" ca="1" si="57"/>
        <v>-2843.8981810199894</v>
      </c>
      <c r="DR19" s="9">
        <f t="shared" ca="1" si="123"/>
        <v>2176.1018189800106</v>
      </c>
      <c r="DS19" s="9">
        <f t="shared" si="89"/>
        <v>122</v>
      </c>
      <c r="DT19" s="9">
        <f t="shared" ca="1" si="58"/>
        <v>-2298.1018189800102</v>
      </c>
      <c r="DU19" s="9">
        <f t="shared" ca="1" si="124"/>
        <v>-2176.1018189800102</v>
      </c>
    </row>
    <row r="20" spans="1:125" ht="14.45" x14ac:dyDescent="0.35">
      <c r="A20" s="16">
        <f>A8</f>
        <v>600</v>
      </c>
      <c r="B20" s="1">
        <v>10</v>
      </c>
      <c r="C20" s="9">
        <f t="shared" si="16"/>
        <v>10</v>
      </c>
      <c r="D20" s="14">
        <f t="shared" si="17"/>
        <v>102</v>
      </c>
      <c r="E20" s="34">
        <f t="shared" si="92"/>
        <v>0</v>
      </c>
      <c r="F20" s="15">
        <f t="shared" si="18"/>
        <v>0</v>
      </c>
      <c r="G20">
        <f t="shared" si="91"/>
        <v>10</v>
      </c>
      <c r="H20">
        <f t="shared" si="91"/>
        <v>1</v>
      </c>
      <c r="I20" s="5">
        <f>GenUnits!$V$12</f>
        <v>400</v>
      </c>
      <c r="J20" s="5">
        <f>GenUnits!$W$12</f>
        <v>122</v>
      </c>
      <c r="K20" s="14">
        <f>$D20</f>
        <v>102</v>
      </c>
      <c r="L20" s="14">
        <f>MAX(I20,K20)</f>
        <v>400</v>
      </c>
      <c r="M20" s="14">
        <f>J20</f>
        <v>122</v>
      </c>
      <c r="N20" s="34">
        <f>GenUnits!$V$11</f>
        <v>1297</v>
      </c>
      <c r="O20" s="34">
        <f>GenUnits!$W$11</f>
        <v>864</v>
      </c>
      <c r="P20" s="14">
        <f t="shared" si="19"/>
        <v>42</v>
      </c>
      <c r="Q20" s="14">
        <f t="shared" si="20"/>
        <v>1</v>
      </c>
      <c r="S20" s="7">
        <f>$L20-MAX($F20,0)</f>
        <v>400</v>
      </c>
      <c r="T20" s="7">
        <f t="shared" si="21"/>
        <v>112</v>
      </c>
      <c r="U20" s="7">
        <f>SUM(S20:T20)</f>
        <v>512</v>
      </c>
      <c r="V20" s="7">
        <f t="shared" si="22"/>
        <v>4000</v>
      </c>
      <c r="W20" s="7">
        <f t="shared" si="23"/>
        <v>112</v>
      </c>
      <c r="X20" s="7">
        <f>SUM(V20:W20)</f>
        <v>4112</v>
      </c>
      <c r="Y20" s="45" t="str">
        <f>$C20&amp;" MW"</f>
        <v>10 MW</v>
      </c>
      <c r="Z20" s="46" t="str">
        <f>$D20&amp;" MW"</f>
        <v>102 MW</v>
      </c>
      <c r="AA20" s="44">
        <f>$E20</f>
        <v>0</v>
      </c>
      <c r="AB20" s="7">
        <f t="shared" si="24"/>
        <v>390</v>
      </c>
      <c r="AC20" s="15">
        <f t="shared" si="25"/>
        <v>10</v>
      </c>
      <c r="AD20" s="8">
        <v>0</v>
      </c>
      <c r="AE20" s="15">
        <f t="shared" si="26"/>
        <v>0</v>
      </c>
      <c r="AF20" s="7">
        <f t="shared" si="67"/>
        <v>0</v>
      </c>
      <c r="AG20" s="7">
        <f t="shared" si="27"/>
        <v>112</v>
      </c>
      <c r="AH20" s="7">
        <f>SUM(AB20:AG20)</f>
        <v>512</v>
      </c>
      <c r="AI20" s="7" t="b">
        <f t="shared" si="28"/>
        <v>1</v>
      </c>
      <c r="AJ20" s="7"/>
      <c r="AK20" s="7"/>
      <c r="AL20" s="7"/>
      <c r="AM20" s="7"/>
      <c r="AN20" s="7"/>
      <c r="AO20" s="7"/>
      <c r="AP20" s="7"/>
      <c r="AQ20" s="7"/>
      <c r="AR20" s="7"/>
      <c r="AS20" s="7"/>
      <c r="AT20" s="7"/>
      <c r="AU20" s="7"/>
      <c r="AV20" s="7">
        <f t="shared" si="29"/>
        <v>3900</v>
      </c>
      <c r="AW20" s="7">
        <f t="shared" si="30"/>
        <v>100</v>
      </c>
      <c r="AX20" s="7">
        <f t="shared" si="31"/>
        <v>0</v>
      </c>
      <c r="AY20" s="30">
        <f t="shared" si="32"/>
        <v>0</v>
      </c>
      <c r="AZ20" s="30">
        <f t="shared" si="33"/>
        <v>0</v>
      </c>
      <c r="BA20" s="30">
        <f t="shared" si="34"/>
        <v>112</v>
      </c>
      <c r="BB20" s="7">
        <f>SUM(AV20:BA20)</f>
        <v>4112</v>
      </c>
      <c r="BC20" s="7" t="b">
        <f t="shared" si="35"/>
        <v>1</v>
      </c>
      <c r="BD20" s="7"/>
      <c r="BE20" s="7"/>
      <c r="BF20" s="7"/>
      <c r="BG20" s="7"/>
      <c r="BH20" s="7"/>
      <c r="BI20" s="7"/>
      <c r="BJ20" s="7"/>
      <c r="BK20" s="7"/>
      <c r="BL20" s="7"/>
      <c r="BM20" s="7"/>
      <c r="BN20" s="7"/>
      <c r="BO20" s="7"/>
      <c r="BP20" s="7">
        <f>MATCH($A20,GenUnits!$AX$43:$AX$48,1)</f>
        <v>2</v>
      </c>
      <c r="BQ20" s="7"/>
      <c r="BR20" s="2">
        <f t="shared" ca="1" si="36"/>
        <v>0.79761451621591573</v>
      </c>
      <c r="BS20" s="2">
        <f t="shared" ca="1" si="37"/>
        <v>0.19400699889136805</v>
      </c>
      <c r="BT20" s="2">
        <f t="shared" ca="1" si="38"/>
        <v>8.3784848927162189E-3</v>
      </c>
      <c r="BU20" s="59">
        <f t="shared" ca="1" si="39"/>
        <v>0.98960476718632573</v>
      </c>
      <c r="BV20" s="59">
        <f t="shared" ca="1" si="40"/>
        <v>1</v>
      </c>
      <c r="BW20" s="59">
        <f t="shared" ca="1" si="41"/>
        <v>1.0395232813674229E-2</v>
      </c>
      <c r="BX20" s="2">
        <f t="shared" si="42"/>
        <v>1.953125E-2</v>
      </c>
      <c r="BY20" s="2">
        <f t="shared" si="43"/>
        <v>1</v>
      </c>
      <c r="BZ20" s="60">
        <f t="shared" ca="1" si="44"/>
        <v>0.80435378222871823</v>
      </c>
      <c r="CA20" s="60">
        <f t="shared" ca="1" si="45"/>
        <v>0.1956462177712818</v>
      </c>
      <c r="CB20" s="52">
        <v>0</v>
      </c>
      <c r="CC20" s="2"/>
      <c r="CD20" s="7"/>
      <c r="CE20" s="7"/>
      <c r="CF20" s="7"/>
      <c r="CG20" s="7">
        <f t="shared" si="46"/>
        <v>0</v>
      </c>
      <c r="CH20" s="9">
        <f>$V20-CJ20</f>
        <v>3874.5332337565346</v>
      </c>
      <c r="CI20" s="7">
        <f>$W20</f>
        <v>112</v>
      </c>
      <c r="CJ20" s="9">
        <f t="shared" si="47"/>
        <v>125.46676624346527</v>
      </c>
      <c r="CK20" s="7">
        <f t="shared" ca="1" si="48"/>
        <v>3279.7908906798457</v>
      </c>
      <c r="CL20" s="7">
        <f t="shared" ca="1" si="49"/>
        <v>797.75677944130541</v>
      </c>
      <c r="CM20" s="7">
        <f t="shared" ca="1" si="50"/>
        <v>34.452329878849092</v>
      </c>
      <c r="CN20" s="7">
        <f t="shared" ca="1" si="51"/>
        <v>3862.9171723683176</v>
      </c>
      <c r="CO20" s="7">
        <f t="shared" ca="1" si="52"/>
        <v>125.39368709846299</v>
      </c>
      <c r="CP20" s="7">
        <f t="shared" ca="1" si="53"/>
        <v>123.68914053321885</v>
      </c>
      <c r="CQ20" s="7">
        <f t="array" aca="1" ref="CQ20" ca="1">(SUM(IF($AV$5:$BA$5=CQ$5,$AV20:$BA20))*BU20+SUM(IF($AV$5:$BA$5="B",$AV20:$BA20))*BR20)*$Q20</f>
        <v>3939.2200436482622</v>
      </c>
      <c r="CR20" s="7">
        <f t="array" aca="1" ref="CR20" ca="1">(SUM(IF($AV$5:$BA$5=CR$5,$AV20:$BA20))*BV20+SUM(IF($AV$5:$BA$5="B",$AV20:$BA20))*BS20)*$Q20</f>
        <v>131.4006998891368</v>
      </c>
      <c r="CS20" s="7">
        <f t="array" aca="1" ref="CS20" ca="1">(SUM(IF($AV$5:$BA$5=CS$5,$AV20:$BA20))*BW20+SUM(IF($AV$5:$BA$5="B",$AV20:$BA20))*BT20)*$Q20</f>
        <v>41.37925646260112</v>
      </c>
      <c r="CT20" s="7">
        <f t="array" aca="1" ref="CT20" ca="1">(SUM(IF($BF$5:$BL$5=CT$5,IF($BF$4:$BL$4="B",$BF20:$BL20)))*BU20+SUM(IF($BF$5:$BL$5=CT$5,IF($BF$4:$BL$4=CT$4,$BF20:$BL20)))+SUM(IF($BF$5:$BL$5="B",$BF20:$BL20))*BZ20)*$Q20</f>
        <v>0</v>
      </c>
      <c r="CU20" s="7">
        <f t="array" aca="1" ref="CU20" ca="1">(SUM(IF($BF$5:$BL$5=CU$5,IF($BF$4:$BL$4="B",$BF20:$BL20)))*BV20+SUM(IF($BF$5:$BL$5=CU$5,IF($BF$4:$BL$4=CU$4,$BF20:$BL20)))+SUM(IF($BF$5:$BL$5="B",$BF20:$BL20))*CA20)*$Q20</f>
        <v>0</v>
      </c>
      <c r="CV20" s="7">
        <f t="array" aca="1" ref="CV20" ca="1">(SUM(IF($BF$5:$BL$5=CV$5,IF($BF$4:$BL$4="B",$BF20:$BL20)))*BW20+SUM(IF($BF$5:$BL$5=CV$5,IF($BF$4:$BL$4=CV$4,$BF20:$BL20)))+SUM(IF($BF$5:$BL$5="B",$BF20:$BL20))*CB20)*$Q20</f>
        <v>0</v>
      </c>
      <c r="CW20" s="7"/>
      <c r="CX20" s="9">
        <f>$V20</f>
        <v>4000</v>
      </c>
      <c r="CY20" s="9">
        <f>-CH20</f>
        <v>-3874.5332337565346</v>
      </c>
      <c r="CZ20" s="9">
        <f>SUM(CX20:CY20)</f>
        <v>125.46676624346537</v>
      </c>
      <c r="DA20" s="9">
        <f>$W20</f>
        <v>112</v>
      </c>
      <c r="DB20" s="9">
        <f>-SUM(CI20:CJ20)</f>
        <v>-237.46676624346526</v>
      </c>
      <c r="DC20" s="9">
        <f>SUM(DA20:DB20)</f>
        <v>-125.46676624346526</v>
      </c>
      <c r="DD20" s="9">
        <f>$V20</f>
        <v>4000</v>
      </c>
      <c r="DE20" s="9">
        <f t="shared" ca="1" si="54"/>
        <v>-3279.7908906798457</v>
      </c>
      <c r="DF20" s="9">
        <f ca="1">SUM(DD20:DE20)</f>
        <v>720.20910932015431</v>
      </c>
      <c r="DG20" s="9">
        <f>$W20</f>
        <v>112</v>
      </c>
      <c r="DH20" s="9">
        <f ca="1">-SUM(CL20:CM20)</f>
        <v>-832.20910932015454</v>
      </c>
      <c r="DI20" s="9">
        <f ca="1">SUM(DG20:DH20)</f>
        <v>-720.20910932015454</v>
      </c>
      <c r="DJ20" s="9">
        <f>$V20</f>
        <v>4000</v>
      </c>
      <c r="DK20" s="9">
        <f t="shared" ca="1" si="55"/>
        <v>-3862.9171723683176</v>
      </c>
      <c r="DL20" s="9">
        <f ca="1">SUM(DJ20:DK20)</f>
        <v>137.08282763168245</v>
      </c>
      <c r="DM20" s="9">
        <f>$W20</f>
        <v>112</v>
      </c>
      <c r="DN20" s="9">
        <f t="shared" ca="1" si="56"/>
        <v>-249.08282763168182</v>
      </c>
      <c r="DO20" s="9">
        <f ca="1">SUM(DM20:DN20)</f>
        <v>-137.08282763168182</v>
      </c>
      <c r="DP20" s="9">
        <f>$V20</f>
        <v>4000</v>
      </c>
      <c r="DQ20" s="9">
        <f t="shared" ca="1" si="57"/>
        <v>-3939.2200436482622</v>
      </c>
      <c r="DR20" s="9">
        <f ca="1">SUM(DP20:DQ20)</f>
        <v>60.779956351737837</v>
      </c>
      <c r="DS20" s="9">
        <f>$W20</f>
        <v>112</v>
      </c>
      <c r="DT20" s="9">
        <f t="shared" ca="1" si="58"/>
        <v>-172.77995635173792</v>
      </c>
      <c r="DU20" s="9">
        <f ca="1">SUM(DS20:DT20)</f>
        <v>-60.779956351737923</v>
      </c>
    </row>
    <row r="21" spans="1:125" ht="14.45" x14ac:dyDescent="0.35">
      <c r="A21" s="16">
        <f t="shared" ref="A21:A55" si="125">A9</f>
        <v>600</v>
      </c>
      <c r="B21" s="14">
        <f t="shared" ref="B21:B31" si="126">B20</f>
        <v>10</v>
      </c>
      <c r="C21" s="9">
        <f t="shared" si="16"/>
        <v>10</v>
      </c>
      <c r="D21" s="14">
        <f t="shared" si="17"/>
        <v>102</v>
      </c>
      <c r="E21" s="34">
        <f t="shared" si="92"/>
        <v>10</v>
      </c>
      <c r="F21" s="15">
        <f t="shared" si="18"/>
        <v>10</v>
      </c>
      <c r="G21">
        <f t="shared" si="91"/>
        <v>10</v>
      </c>
      <c r="H21">
        <f t="shared" si="91"/>
        <v>1</v>
      </c>
      <c r="I21" s="5">
        <f>GenUnits!$V$12</f>
        <v>400</v>
      </c>
      <c r="J21" s="5">
        <f>GenUnits!$W$12</f>
        <v>122</v>
      </c>
      <c r="K21" s="14">
        <f t="shared" si="60"/>
        <v>102</v>
      </c>
      <c r="L21" s="14">
        <f t="shared" ref="L21:L31" si="127">MAX(I21,K21)</f>
        <v>400</v>
      </c>
      <c r="M21" s="14">
        <f t="shared" ref="M21:M31" si="128">J21</f>
        <v>122</v>
      </c>
      <c r="N21" s="34">
        <f>GenUnits!$V$11</f>
        <v>1297</v>
      </c>
      <c r="O21" s="34">
        <f>GenUnits!$W$11</f>
        <v>864</v>
      </c>
      <c r="P21" s="14">
        <f t="shared" si="19"/>
        <v>42</v>
      </c>
      <c r="Q21" s="14">
        <f t="shared" si="20"/>
        <v>1</v>
      </c>
      <c r="S21" s="7">
        <f t="shared" si="63"/>
        <v>390</v>
      </c>
      <c r="T21" s="7">
        <f t="shared" si="21"/>
        <v>112</v>
      </c>
      <c r="U21" s="7">
        <f t="shared" ref="U21:U31" si="129">SUM(S21:T21)</f>
        <v>502</v>
      </c>
      <c r="V21" s="7">
        <f t="shared" si="22"/>
        <v>3900</v>
      </c>
      <c r="W21" s="7">
        <f t="shared" si="23"/>
        <v>112</v>
      </c>
      <c r="X21" s="7">
        <f t="shared" ref="X21:X31" si="130">SUM(V21:W21)</f>
        <v>4012</v>
      </c>
      <c r="Y21" s="45"/>
      <c r="Z21" s="46"/>
      <c r="AA21" s="44">
        <f t="shared" si="66"/>
        <v>10</v>
      </c>
      <c r="AB21" s="7">
        <f t="shared" si="24"/>
        <v>380</v>
      </c>
      <c r="AC21" s="15">
        <f t="shared" si="25"/>
        <v>10</v>
      </c>
      <c r="AD21" s="8">
        <v>0</v>
      </c>
      <c r="AE21" s="15">
        <f t="shared" si="26"/>
        <v>0</v>
      </c>
      <c r="AF21" s="7">
        <f t="shared" si="67"/>
        <v>10</v>
      </c>
      <c r="AG21" s="7">
        <f t="shared" si="27"/>
        <v>102</v>
      </c>
      <c r="AH21" s="7">
        <f t="shared" ref="AH21:AH31" si="131">SUM(AB21:AG21)</f>
        <v>502</v>
      </c>
      <c r="AI21" s="7" t="b">
        <f t="shared" si="28"/>
        <v>1</v>
      </c>
      <c r="AJ21" s="7"/>
      <c r="AK21" s="7"/>
      <c r="AL21" s="7"/>
      <c r="AM21" s="7"/>
      <c r="AN21" s="7"/>
      <c r="AO21" s="7"/>
      <c r="AP21" s="7"/>
      <c r="AQ21" s="7"/>
      <c r="AR21" s="7"/>
      <c r="AS21" s="7"/>
      <c r="AT21" s="7"/>
      <c r="AU21" s="7"/>
      <c r="AV21" s="7">
        <f t="shared" si="29"/>
        <v>3800</v>
      </c>
      <c r="AW21" s="7">
        <f t="shared" si="30"/>
        <v>100</v>
      </c>
      <c r="AX21" s="7">
        <f t="shared" si="31"/>
        <v>0</v>
      </c>
      <c r="AY21" s="30">
        <f t="shared" si="32"/>
        <v>0</v>
      </c>
      <c r="AZ21" s="30">
        <f t="shared" si="33"/>
        <v>10</v>
      </c>
      <c r="BA21" s="30">
        <f t="shared" si="34"/>
        <v>102</v>
      </c>
      <c r="BB21" s="7">
        <f t="shared" ref="BB21:BB31" si="132">SUM(AV21:BA21)</f>
        <v>4012</v>
      </c>
      <c r="BC21" s="7" t="b">
        <f t="shared" si="35"/>
        <v>1</v>
      </c>
      <c r="BD21" s="7"/>
      <c r="BE21" s="7"/>
      <c r="BF21" s="7"/>
      <c r="BG21" s="7"/>
      <c r="BH21" s="7"/>
      <c r="BI21" s="7"/>
      <c r="BJ21" s="7"/>
      <c r="BK21" s="7"/>
      <c r="BL21" s="7"/>
      <c r="BM21" s="7"/>
      <c r="BN21" s="7"/>
      <c r="BO21" s="7"/>
      <c r="BP21" s="7">
        <f>MATCH($A21,GenUnits!$AX$43:$AX$48,1)</f>
        <v>2</v>
      </c>
      <c r="BQ21" s="7"/>
      <c r="BR21" s="2">
        <f t="shared" ca="1" si="36"/>
        <v>0.79761451621591573</v>
      </c>
      <c r="BS21" s="2">
        <f t="shared" ca="1" si="37"/>
        <v>0.19400699889136805</v>
      </c>
      <c r="BT21" s="2">
        <f t="shared" ca="1" si="38"/>
        <v>8.3784848927162189E-3</v>
      </c>
      <c r="BU21" s="59">
        <f t="shared" ca="1" si="39"/>
        <v>0.98960476718632573</v>
      </c>
      <c r="BV21" s="59">
        <f t="shared" ca="1" si="40"/>
        <v>1</v>
      </c>
      <c r="BW21" s="59">
        <f t="shared" ca="1" si="41"/>
        <v>1.0395232813674229E-2</v>
      </c>
      <c r="BX21" s="2">
        <f t="shared" si="42"/>
        <v>1.9920318725099601E-2</v>
      </c>
      <c r="BY21" s="2">
        <f t="shared" si="43"/>
        <v>0.91803278688524592</v>
      </c>
      <c r="BZ21" s="60">
        <f t="shared" ca="1" si="44"/>
        <v>0.80435378222871823</v>
      </c>
      <c r="CA21" s="60">
        <f t="shared" ca="1" si="45"/>
        <v>0.1956462177712818</v>
      </c>
      <c r="CB21" s="52">
        <v>0</v>
      </c>
      <c r="CC21" s="2"/>
      <c r="CD21" s="7"/>
      <c r="CE21" s="7"/>
      <c r="CF21" s="7"/>
      <c r="CG21" s="7">
        <f t="shared" si="46"/>
        <v>10</v>
      </c>
      <c r="CH21" s="9">
        <f t="shared" ref="CH21:CH31" si="133">$V21-CJ21</f>
        <v>3777.6699029126212</v>
      </c>
      <c r="CI21" s="7">
        <f t="shared" si="71"/>
        <v>112</v>
      </c>
      <c r="CJ21" s="9">
        <f t="shared" si="47"/>
        <v>122.33009708737865</v>
      </c>
      <c r="CK21" s="7">
        <f t="shared" ca="1" si="48"/>
        <v>3200.029439058254</v>
      </c>
      <c r="CL21" s="7">
        <f t="shared" ca="1" si="49"/>
        <v>778.35607955216858</v>
      </c>
      <c r="CM21" s="7">
        <f t="shared" ca="1" si="50"/>
        <v>33.61448138957747</v>
      </c>
      <c r="CN21" s="7">
        <f t="shared" ca="1" si="51"/>
        <v>3766.1631207641276</v>
      </c>
      <c r="CO21" s="7">
        <f t="shared" ca="1" si="52"/>
        <v>125.27402548908702</v>
      </c>
      <c r="CP21" s="7">
        <f t="shared" ca="1" si="53"/>
        <v>120.56285374678501</v>
      </c>
      <c r="CQ21" s="7">
        <f t="array" aca="1" ref="CQ21" ca="1">(SUM(IF($AV$5:$BA$5=CQ$5,$AV21:$BA21))*BU21+SUM(IF($AV$5:$BA$5="B",$AV21:$BA21))*BR21)*$Q21</f>
        <v>3848.2357120917886</v>
      </c>
      <c r="CR21" s="7">
        <f t="array" aca="1" ref="CR21" ca="1">(SUM(IF($AV$5:$BA$5=CR$5,$AV21:$BA21))*BV21+SUM(IF($AV$5:$BA$5="B",$AV21:$BA21))*BS21)*$Q21</f>
        <v>123.34076987805048</v>
      </c>
      <c r="CS21" s="7">
        <f t="array" aca="1" ref="CS21" ca="1">(SUM(IF($AV$5:$BA$5=CS$5,$AV21:$BA21))*BW21+SUM(IF($AV$5:$BA$5="B",$AV21:$BA21))*BT21)*$Q21</f>
        <v>40.423518030160849</v>
      </c>
      <c r="CT21" s="7">
        <f t="array" aca="1" ref="CT21" ca="1">(SUM(IF($BF$5:$BL$5=CT$5,IF($BF$4:$BL$4="B",$BF21:$BL21)))*BU21+SUM(IF($BF$5:$BL$5=CT$5,IF($BF$4:$BL$4=CT$4,$BF21:$BL21)))+SUM(IF($BF$5:$BL$5="B",$BF21:$BL21))*BZ21)*$Q21</f>
        <v>0</v>
      </c>
      <c r="CU21" s="7">
        <f t="array" aca="1" ref="CU21" ca="1">(SUM(IF($BF$5:$BL$5=CU$5,IF($BF$4:$BL$4="B",$BF21:$BL21)))*BV21+SUM(IF($BF$5:$BL$5=CU$5,IF($BF$4:$BL$4=CU$4,$BF21:$BL21)))+SUM(IF($BF$5:$BL$5="B",$BF21:$BL21))*CA21)*$Q21</f>
        <v>0</v>
      </c>
      <c r="CV21" s="7">
        <f t="array" aca="1" ref="CV21" ca="1">(SUM(IF($BF$5:$BL$5=CV$5,IF($BF$4:$BL$4="B",$BF21:$BL21)))*BW21+SUM(IF($BF$5:$BL$5=CV$5,IF($BF$4:$BL$4=CV$4,$BF21:$BL21)))+SUM(IF($BF$5:$BL$5="B",$BF21:$BL21))*CB21)*$Q21</f>
        <v>0</v>
      </c>
      <c r="CW21" s="7"/>
      <c r="CX21" s="9">
        <f t="shared" si="72"/>
        <v>3900</v>
      </c>
      <c r="CY21" s="9">
        <f t="shared" ref="CY21:CY31" si="134">-CH21</f>
        <v>-3777.6699029126212</v>
      </c>
      <c r="CZ21" s="9">
        <f t="shared" ref="CZ21:CZ31" si="135">SUM(CX21:CY21)</f>
        <v>122.33009708737882</v>
      </c>
      <c r="DA21" s="9">
        <f t="shared" si="75"/>
        <v>112</v>
      </c>
      <c r="DB21" s="9">
        <f t="shared" ref="DB21:DB31" si="136">-SUM(CI21:CJ21)</f>
        <v>-234.33009708737865</v>
      </c>
      <c r="DC21" s="9">
        <f t="shared" ref="DC21:DC31" si="137">SUM(DA21:DB21)</f>
        <v>-122.33009708737865</v>
      </c>
      <c r="DD21" s="9">
        <f t="shared" si="78"/>
        <v>3900</v>
      </c>
      <c r="DE21" s="9">
        <f t="shared" ca="1" si="54"/>
        <v>-3200.029439058254</v>
      </c>
      <c r="DF21" s="9">
        <f t="shared" ref="DF21:DF31" ca="1" si="138">SUM(DD21:DE21)</f>
        <v>699.97056094174604</v>
      </c>
      <c r="DG21" s="9">
        <f t="shared" si="80"/>
        <v>112</v>
      </c>
      <c r="DH21" s="9">
        <f t="shared" ref="DH21:DH31" ca="1" si="139">-SUM(CL21:CM21)</f>
        <v>-811.97056094174604</v>
      </c>
      <c r="DI21" s="9">
        <f t="shared" ref="DI21:DI31" ca="1" si="140">SUM(DG21:DH21)</f>
        <v>-699.97056094174604</v>
      </c>
      <c r="DJ21" s="9">
        <f t="shared" si="83"/>
        <v>3900</v>
      </c>
      <c r="DK21" s="9">
        <f t="shared" ca="1" si="55"/>
        <v>-3766.1631207641276</v>
      </c>
      <c r="DL21" s="9">
        <f t="shared" ref="DL21:DL31" ca="1" si="141">SUM(DJ21:DK21)</f>
        <v>133.8368792358724</v>
      </c>
      <c r="DM21" s="9">
        <f t="shared" si="85"/>
        <v>112</v>
      </c>
      <c r="DN21" s="9">
        <f t="shared" ca="1" si="56"/>
        <v>-245.83687923587203</v>
      </c>
      <c r="DO21" s="9">
        <f t="shared" ref="DO21:DO31" ca="1" si="142">SUM(DM21:DN21)</f>
        <v>-133.83687923587203</v>
      </c>
      <c r="DP21" s="9">
        <f t="shared" si="87"/>
        <v>3900</v>
      </c>
      <c r="DQ21" s="9">
        <f t="shared" ca="1" si="57"/>
        <v>-3848.2357120917886</v>
      </c>
      <c r="DR21" s="9">
        <f t="shared" ref="DR21:DR31" ca="1" si="143">SUM(DP21:DQ21)</f>
        <v>51.764287908211372</v>
      </c>
      <c r="DS21" s="9">
        <f t="shared" si="89"/>
        <v>112</v>
      </c>
      <c r="DT21" s="9">
        <f t="shared" ca="1" si="58"/>
        <v>-163.76428790821132</v>
      </c>
      <c r="DU21" s="9">
        <f t="shared" ref="DU21:DU31" ca="1" si="144">SUM(DS21:DT21)</f>
        <v>-51.764287908211315</v>
      </c>
    </row>
    <row r="22" spans="1:125" ht="14.45" x14ac:dyDescent="0.35">
      <c r="A22" s="16">
        <f t="shared" si="125"/>
        <v>600</v>
      </c>
      <c r="B22" s="14">
        <f t="shared" si="126"/>
        <v>10</v>
      </c>
      <c r="C22" s="9">
        <f t="shared" si="16"/>
        <v>10</v>
      </c>
      <c r="D22" s="14">
        <f t="shared" si="17"/>
        <v>102</v>
      </c>
      <c r="E22" s="34">
        <f t="shared" si="92"/>
        <v>100</v>
      </c>
      <c r="F22" s="15">
        <f t="shared" si="18"/>
        <v>10</v>
      </c>
      <c r="G22">
        <f t="shared" si="91"/>
        <v>10</v>
      </c>
      <c r="H22">
        <f t="shared" si="91"/>
        <v>1</v>
      </c>
      <c r="I22" s="5">
        <f>GenUnits!$V$12</f>
        <v>400</v>
      </c>
      <c r="J22" s="5">
        <f>GenUnits!$W$12</f>
        <v>122</v>
      </c>
      <c r="K22" s="14">
        <f t="shared" si="60"/>
        <v>102</v>
      </c>
      <c r="L22" s="14">
        <f t="shared" si="127"/>
        <v>400</v>
      </c>
      <c r="M22" s="14">
        <f t="shared" si="128"/>
        <v>122</v>
      </c>
      <c r="N22" s="34">
        <f>GenUnits!$V$11</f>
        <v>1297</v>
      </c>
      <c r="O22" s="34">
        <f>GenUnits!$W$11</f>
        <v>864</v>
      </c>
      <c r="P22" s="14">
        <f t="shared" si="19"/>
        <v>42</v>
      </c>
      <c r="Q22" s="14">
        <f t="shared" si="20"/>
        <v>1</v>
      </c>
      <c r="S22" s="7">
        <f t="shared" si="63"/>
        <v>390</v>
      </c>
      <c r="T22" s="7">
        <f t="shared" si="21"/>
        <v>112</v>
      </c>
      <c r="U22" s="7">
        <f t="shared" si="129"/>
        <v>502</v>
      </c>
      <c r="V22" s="7">
        <f t="shared" si="22"/>
        <v>3900</v>
      </c>
      <c r="W22" s="7">
        <f t="shared" si="23"/>
        <v>112</v>
      </c>
      <c r="X22" s="7">
        <f t="shared" si="130"/>
        <v>4012</v>
      </c>
      <c r="Y22" s="45"/>
      <c r="Z22" s="46"/>
      <c r="AA22" s="44">
        <f t="shared" si="66"/>
        <v>100</v>
      </c>
      <c r="AB22" s="7">
        <f t="shared" si="24"/>
        <v>380</v>
      </c>
      <c r="AC22" s="15">
        <f t="shared" si="25"/>
        <v>10</v>
      </c>
      <c r="AD22" s="8">
        <v>0</v>
      </c>
      <c r="AE22" s="15">
        <f t="shared" si="26"/>
        <v>0</v>
      </c>
      <c r="AF22" s="7">
        <f t="shared" si="67"/>
        <v>10</v>
      </c>
      <c r="AG22" s="7">
        <f t="shared" si="27"/>
        <v>102</v>
      </c>
      <c r="AH22" s="7">
        <f t="shared" si="131"/>
        <v>502</v>
      </c>
      <c r="AI22" s="7" t="b">
        <f t="shared" si="28"/>
        <v>1</v>
      </c>
      <c r="AJ22" s="7"/>
      <c r="AK22" s="7"/>
      <c r="AL22" s="7"/>
      <c r="AM22" s="7"/>
      <c r="AN22" s="7"/>
      <c r="AO22" s="7"/>
      <c r="AP22" s="7"/>
      <c r="AQ22" s="7"/>
      <c r="AR22" s="7"/>
      <c r="AS22" s="7"/>
      <c r="AT22" s="7"/>
      <c r="AU22" s="7"/>
      <c r="AV22" s="7">
        <f t="shared" si="29"/>
        <v>3800</v>
      </c>
      <c r="AW22" s="7">
        <f t="shared" si="30"/>
        <v>100</v>
      </c>
      <c r="AX22" s="7">
        <f t="shared" si="31"/>
        <v>0</v>
      </c>
      <c r="AY22" s="30">
        <f t="shared" si="32"/>
        <v>0</v>
      </c>
      <c r="AZ22" s="30">
        <f t="shared" si="33"/>
        <v>10</v>
      </c>
      <c r="BA22" s="30">
        <f t="shared" si="34"/>
        <v>102</v>
      </c>
      <c r="BB22" s="7">
        <f t="shared" si="132"/>
        <v>4012</v>
      </c>
      <c r="BC22" s="7" t="b">
        <f t="shared" si="35"/>
        <v>1</v>
      </c>
      <c r="BD22" s="7"/>
      <c r="BE22" s="7"/>
      <c r="BF22" s="7"/>
      <c r="BG22" s="7"/>
      <c r="BH22" s="7"/>
      <c r="BI22" s="7"/>
      <c r="BJ22" s="7"/>
      <c r="BK22" s="7"/>
      <c r="BL22" s="7"/>
      <c r="BM22" s="7"/>
      <c r="BN22" s="7"/>
      <c r="BO22" s="7"/>
      <c r="BP22" s="7">
        <f>MATCH($A22,GenUnits!$AX$43:$AX$48,1)</f>
        <v>2</v>
      </c>
      <c r="BQ22" s="7"/>
      <c r="BR22" s="2">
        <f t="shared" ca="1" si="36"/>
        <v>0.79761451621591573</v>
      </c>
      <c r="BS22" s="2">
        <f t="shared" ca="1" si="37"/>
        <v>0.19400699889136805</v>
      </c>
      <c r="BT22" s="2">
        <f t="shared" ca="1" si="38"/>
        <v>8.3784848927162189E-3</v>
      </c>
      <c r="BU22" s="59">
        <f t="shared" ca="1" si="39"/>
        <v>0.98960476718632573</v>
      </c>
      <c r="BV22" s="59">
        <f t="shared" ca="1" si="40"/>
        <v>1</v>
      </c>
      <c r="BW22" s="59">
        <f t="shared" ca="1" si="41"/>
        <v>1.0395232813674229E-2</v>
      </c>
      <c r="BX22" s="2">
        <f t="shared" si="42"/>
        <v>1.9920318725099601E-2</v>
      </c>
      <c r="BY22" s="2">
        <f t="shared" si="43"/>
        <v>0.91803278688524592</v>
      </c>
      <c r="BZ22" s="60">
        <f t="shared" ca="1" si="44"/>
        <v>0.80435378222871823</v>
      </c>
      <c r="CA22" s="60">
        <f t="shared" ca="1" si="45"/>
        <v>0.1956462177712818</v>
      </c>
      <c r="CB22" s="52">
        <v>0</v>
      </c>
      <c r="CC22" s="2"/>
      <c r="CD22" s="7"/>
      <c r="CE22" s="7"/>
      <c r="CF22" s="7"/>
      <c r="CG22" s="7">
        <f t="shared" si="46"/>
        <v>100</v>
      </c>
      <c r="CH22" s="9">
        <f t="shared" si="133"/>
        <v>3777.6699029126212</v>
      </c>
      <c r="CI22" s="7">
        <f t="shared" si="71"/>
        <v>112</v>
      </c>
      <c r="CJ22" s="9">
        <f t="shared" si="47"/>
        <v>122.33009708737865</v>
      </c>
      <c r="CK22" s="7">
        <f t="shared" ca="1" si="48"/>
        <v>3200.029439058254</v>
      </c>
      <c r="CL22" s="7">
        <f t="shared" ca="1" si="49"/>
        <v>778.35607955216858</v>
      </c>
      <c r="CM22" s="7">
        <f t="shared" ca="1" si="50"/>
        <v>33.61448138957747</v>
      </c>
      <c r="CN22" s="7">
        <f t="shared" ca="1" si="51"/>
        <v>3766.1631207641276</v>
      </c>
      <c r="CO22" s="7">
        <f t="shared" ca="1" si="52"/>
        <v>125.27402548908702</v>
      </c>
      <c r="CP22" s="7">
        <f t="shared" ca="1" si="53"/>
        <v>120.56285374678501</v>
      </c>
      <c r="CQ22" s="7">
        <f t="array" aca="1" ref="CQ22" ca="1">(SUM(IF($AV$5:$BA$5=CQ$5,$AV22:$BA22))*BU22+SUM(IF($AV$5:$BA$5="B",$AV22:$BA22))*BR22)*$Q22</f>
        <v>3848.2357120917886</v>
      </c>
      <c r="CR22" s="7">
        <f t="array" aca="1" ref="CR22" ca="1">(SUM(IF($AV$5:$BA$5=CR$5,$AV22:$BA22))*BV22+SUM(IF($AV$5:$BA$5="B",$AV22:$BA22))*BS22)*$Q22</f>
        <v>123.34076987805048</v>
      </c>
      <c r="CS22" s="7">
        <f t="array" aca="1" ref="CS22" ca="1">(SUM(IF($AV$5:$BA$5=CS$5,$AV22:$BA22))*BW22+SUM(IF($AV$5:$BA$5="B",$AV22:$BA22))*BT22)*$Q22</f>
        <v>40.423518030160849</v>
      </c>
      <c r="CT22" s="7">
        <f t="array" aca="1" ref="CT22" ca="1">(SUM(IF($BF$5:$BL$5=CT$5,IF($BF$4:$BL$4="B",$BF22:$BL22)))*BU22+SUM(IF($BF$5:$BL$5=CT$5,IF($BF$4:$BL$4=CT$4,$BF22:$BL22)))+SUM(IF($BF$5:$BL$5="B",$BF22:$BL22))*BZ22)*$Q22</f>
        <v>0</v>
      </c>
      <c r="CU22" s="7">
        <f t="array" aca="1" ref="CU22" ca="1">(SUM(IF($BF$5:$BL$5=CU$5,IF($BF$4:$BL$4="B",$BF22:$BL22)))*BV22+SUM(IF($BF$5:$BL$5=CU$5,IF($BF$4:$BL$4=CU$4,$BF22:$BL22)))+SUM(IF($BF$5:$BL$5="B",$BF22:$BL22))*CA22)*$Q22</f>
        <v>0</v>
      </c>
      <c r="CV22" s="7">
        <f t="array" aca="1" ref="CV22" ca="1">(SUM(IF($BF$5:$BL$5=CV$5,IF($BF$4:$BL$4="B",$BF22:$BL22)))*BW22+SUM(IF($BF$5:$BL$5=CV$5,IF($BF$4:$BL$4=CV$4,$BF22:$BL22)))+SUM(IF($BF$5:$BL$5="B",$BF22:$BL22))*CB22)*$Q22</f>
        <v>0</v>
      </c>
      <c r="CW22" s="7"/>
      <c r="CX22" s="9">
        <f t="shared" si="72"/>
        <v>3900</v>
      </c>
      <c r="CY22" s="9">
        <f t="shared" si="134"/>
        <v>-3777.6699029126212</v>
      </c>
      <c r="CZ22" s="9">
        <f t="shared" si="135"/>
        <v>122.33009708737882</v>
      </c>
      <c r="DA22" s="9">
        <f t="shared" si="75"/>
        <v>112</v>
      </c>
      <c r="DB22" s="9">
        <f t="shared" si="136"/>
        <v>-234.33009708737865</v>
      </c>
      <c r="DC22" s="9">
        <f t="shared" si="137"/>
        <v>-122.33009708737865</v>
      </c>
      <c r="DD22" s="9">
        <f t="shared" si="78"/>
        <v>3900</v>
      </c>
      <c r="DE22" s="9">
        <f t="shared" ca="1" si="54"/>
        <v>-3200.029439058254</v>
      </c>
      <c r="DF22" s="9">
        <f t="shared" ca="1" si="138"/>
        <v>699.97056094174604</v>
      </c>
      <c r="DG22" s="9">
        <f t="shared" si="80"/>
        <v>112</v>
      </c>
      <c r="DH22" s="9">
        <f t="shared" ca="1" si="139"/>
        <v>-811.97056094174604</v>
      </c>
      <c r="DI22" s="9">
        <f t="shared" ca="1" si="140"/>
        <v>-699.97056094174604</v>
      </c>
      <c r="DJ22" s="9">
        <f t="shared" si="83"/>
        <v>3900</v>
      </c>
      <c r="DK22" s="9">
        <f t="shared" ca="1" si="55"/>
        <v>-3766.1631207641276</v>
      </c>
      <c r="DL22" s="9">
        <f t="shared" ca="1" si="141"/>
        <v>133.8368792358724</v>
      </c>
      <c r="DM22" s="9">
        <f t="shared" si="85"/>
        <v>112</v>
      </c>
      <c r="DN22" s="9">
        <f t="shared" ca="1" si="56"/>
        <v>-245.83687923587203</v>
      </c>
      <c r="DO22" s="9">
        <f t="shared" ca="1" si="142"/>
        <v>-133.83687923587203</v>
      </c>
      <c r="DP22" s="9">
        <f t="shared" si="87"/>
        <v>3900</v>
      </c>
      <c r="DQ22" s="9">
        <f t="shared" ca="1" si="57"/>
        <v>-3848.2357120917886</v>
      </c>
      <c r="DR22" s="9">
        <f t="shared" ca="1" si="143"/>
        <v>51.764287908211372</v>
      </c>
      <c r="DS22" s="9">
        <f t="shared" si="89"/>
        <v>112</v>
      </c>
      <c r="DT22" s="9">
        <f t="shared" ca="1" si="58"/>
        <v>-163.76428790821132</v>
      </c>
      <c r="DU22" s="9">
        <f t="shared" ca="1" si="144"/>
        <v>-51.764287908211315</v>
      </c>
    </row>
    <row r="23" spans="1:125" ht="14.45" x14ac:dyDescent="0.35">
      <c r="A23" s="16">
        <f t="shared" si="125"/>
        <v>600</v>
      </c>
      <c r="B23" s="14">
        <f t="shared" si="126"/>
        <v>10</v>
      </c>
      <c r="C23" s="9">
        <f t="shared" si="16"/>
        <v>10</v>
      </c>
      <c r="D23" s="14">
        <f t="shared" si="17"/>
        <v>102</v>
      </c>
      <c r="E23" s="34">
        <f t="shared" si="92"/>
        <v>220</v>
      </c>
      <c r="F23" s="15">
        <f t="shared" si="18"/>
        <v>10</v>
      </c>
      <c r="G23">
        <f t="shared" si="91"/>
        <v>10</v>
      </c>
      <c r="H23">
        <f t="shared" si="91"/>
        <v>1</v>
      </c>
      <c r="I23" s="5">
        <f>GenUnits!$V$12</f>
        <v>400</v>
      </c>
      <c r="J23" s="5">
        <f>GenUnits!$W$12</f>
        <v>122</v>
      </c>
      <c r="K23" s="14">
        <f t="shared" si="60"/>
        <v>102</v>
      </c>
      <c r="L23" s="14">
        <f t="shared" si="127"/>
        <v>400</v>
      </c>
      <c r="M23" s="14">
        <f t="shared" si="128"/>
        <v>122</v>
      </c>
      <c r="N23" s="34">
        <f>GenUnits!$V$11</f>
        <v>1297</v>
      </c>
      <c r="O23" s="34">
        <f>GenUnits!$W$11</f>
        <v>864</v>
      </c>
      <c r="P23" s="14">
        <f t="shared" si="19"/>
        <v>42</v>
      </c>
      <c r="Q23" s="14">
        <f t="shared" si="20"/>
        <v>1</v>
      </c>
      <c r="S23" s="7">
        <f t="shared" si="63"/>
        <v>390</v>
      </c>
      <c r="T23" s="7">
        <f t="shared" si="21"/>
        <v>112</v>
      </c>
      <c r="U23" s="7">
        <f t="shared" si="129"/>
        <v>502</v>
      </c>
      <c r="V23" s="7">
        <f t="shared" si="22"/>
        <v>3900</v>
      </c>
      <c r="W23" s="7">
        <f t="shared" si="23"/>
        <v>112</v>
      </c>
      <c r="X23" s="7">
        <f t="shared" si="130"/>
        <v>4012</v>
      </c>
      <c r="Y23" s="45"/>
      <c r="Z23" s="46"/>
      <c r="AA23" s="44">
        <f t="shared" si="66"/>
        <v>220</v>
      </c>
      <c r="AB23" s="7">
        <f t="shared" si="24"/>
        <v>380</v>
      </c>
      <c r="AC23" s="15">
        <f t="shared" si="25"/>
        <v>10</v>
      </c>
      <c r="AD23" s="8">
        <v>0</v>
      </c>
      <c r="AE23" s="15">
        <f t="shared" si="26"/>
        <v>0</v>
      </c>
      <c r="AF23" s="7">
        <f t="shared" si="67"/>
        <v>10</v>
      </c>
      <c r="AG23" s="7">
        <f t="shared" si="27"/>
        <v>102</v>
      </c>
      <c r="AH23" s="7">
        <f t="shared" si="131"/>
        <v>502</v>
      </c>
      <c r="AI23" s="7" t="b">
        <f t="shared" si="28"/>
        <v>1</v>
      </c>
      <c r="AJ23" s="7"/>
      <c r="AK23" s="7"/>
      <c r="AL23" s="7"/>
      <c r="AM23" s="7"/>
      <c r="AN23" s="7"/>
      <c r="AO23" s="7"/>
      <c r="AP23" s="7"/>
      <c r="AQ23" s="7"/>
      <c r="AR23" s="7"/>
      <c r="AS23" s="7"/>
      <c r="AT23" s="7"/>
      <c r="AU23" s="7"/>
      <c r="AV23" s="7">
        <f t="shared" si="29"/>
        <v>3800</v>
      </c>
      <c r="AW23" s="7">
        <f t="shared" si="30"/>
        <v>100</v>
      </c>
      <c r="AX23" s="7">
        <f t="shared" si="31"/>
        <v>0</v>
      </c>
      <c r="AY23" s="30">
        <f t="shared" si="32"/>
        <v>0</v>
      </c>
      <c r="AZ23" s="30">
        <f t="shared" si="33"/>
        <v>10</v>
      </c>
      <c r="BA23" s="30">
        <f t="shared" si="34"/>
        <v>102</v>
      </c>
      <c r="BB23" s="7">
        <f t="shared" si="132"/>
        <v>4012</v>
      </c>
      <c r="BC23" s="7" t="b">
        <f t="shared" si="35"/>
        <v>1</v>
      </c>
      <c r="BD23" s="7"/>
      <c r="BE23" s="7"/>
      <c r="BF23" s="7"/>
      <c r="BG23" s="7"/>
      <c r="BH23" s="7"/>
      <c r="BI23" s="7"/>
      <c r="BJ23" s="7"/>
      <c r="BK23" s="7"/>
      <c r="BL23" s="7"/>
      <c r="BM23" s="7"/>
      <c r="BN23" s="7"/>
      <c r="BO23" s="7"/>
      <c r="BP23" s="7">
        <f>MATCH($A23,GenUnits!$AX$43:$AX$48,1)</f>
        <v>2</v>
      </c>
      <c r="BQ23" s="7"/>
      <c r="BR23" s="2">
        <f t="shared" ca="1" si="36"/>
        <v>0.79761451621591573</v>
      </c>
      <c r="BS23" s="2">
        <f t="shared" ca="1" si="37"/>
        <v>0.19400699889136805</v>
      </c>
      <c r="BT23" s="2">
        <f t="shared" ca="1" si="38"/>
        <v>8.3784848927162189E-3</v>
      </c>
      <c r="BU23" s="59">
        <f t="shared" ca="1" si="39"/>
        <v>0.98960476718632573</v>
      </c>
      <c r="BV23" s="59">
        <f t="shared" ca="1" si="40"/>
        <v>1</v>
      </c>
      <c r="BW23" s="59">
        <f t="shared" ca="1" si="41"/>
        <v>1.0395232813674229E-2</v>
      </c>
      <c r="BX23" s="2">
        <f t="shared" si="42"/>
        <v>1.9920318725099601E-2</v>
      </c>
      <c r="BY23" s="2">
        <f t="shared" si="43"/>
        <v>0.91803278688524592</v>
      </c>
      <c r="BZ23" s="60">
        <f t="shared" ca="1" si="44"/>
        <v>0.80435378222871823</v>
      </c>
      <c r="CA23" s="60">
        <f t="shared" ca="1" si="45"/>
        <v>0.1956462177712818</v>
      </c>
      <c r="CB23" s="52">
        <v>0</v>
      </c>
      <c r="CC23" s="2"/>
      <c r="CD23" s="7"/>
      <c r="CE23" s="7"/>
      <c r="CF23" s="7"/>
      <c r="CG23" s="7">
        <f t="shared" si="46"/>
        <v>220</v>
      </c>
      <c r="CH23" s="9">
        <f t="shared" si="133"/>
        <v>3777.6699029126212</v>
      </c>
      <c r="CI23" s="7">
        <f t="shared" si="71"/>
        <v>112</v>
      </c>
      <c r="CJ23" s="9">
        <f t="shared" si="47"/>
        <v>122.33009708737865</v>
      </c>
      <c r="CK23" s="7">
        <f t="shared" ca="1" si="48"/>
        <v>3200.029439058254</v>
      </c>
      <c r="CL23" s="7">
        <f t="shared" ca="1" si="49"/>
        <v>778.35607955216858</v>
      </c>
      <c r="CM23" s="7">
        <f t="shared" ca="1" si="50"/>
        <v>33.61448138957747</v>
      </c>
      <c r="CN23" s="7">
        <f t="shared" ca="1" si="51"/>
        <v>3766.1631207641276</v>
      </c>
      <c r="CO23" s="7">
        <f t="shared" ca="1" si="52"/>
        <v>125.27402548908702</v>
      </c>
      <c r="CP23" s="7">
        <f t="shared" ca="1" si="53"/>
        <v>120.56285374678501</v>
      </c>
      <c r="CQ23" s="7">
        <f t="array" aca="1" ref="CQ23" ca="1">(SUM(IF($AV$5:$BA$5=CQ$5,$AV23:$BA23))*BU23+SUM(IF($AV$5:$BA$5="B",$AV23:$BA23))*BR23)*$Q23</f>
        <v>3848.2357120917886</v>
      </c>
      <c r="CR23" s="7">
        <f t="array" aca="1" ref="CR23" ca="1">(SUM(IF($AV$5:$BA$5=CR$5,$AV23:$BA23))*BV23+SUM(IF($AV$5:$BA$5="B",$AV23:$BA23))*BS23)*$Q23</f>
        <v>123.34076987805048</v>
      </c>
      <c r="CS23" s="7">
        <f t="array" aca="1" ref="CS23" ca="1">(SUM(IF($AV$5:$BA$5=CS$5,$AV23:$BA23))*BW23+SUM(IF($AV$5:$BA$5="B",$AV23:$BA23))*BT23)*$Q23</f>
        <v>40.423518030160849</v>
      </c>
      <c r="CT23" s="7">
        <f t="array" aca="1" ref="CT23" ca="1">(SUM(IF($BF$5:$BL$5=CT$5,IF($BF$4:$BL$4="B",$BF23:$BL23)))*BU23+SUM(IF($BF$5:$BL$5=CT$5,IF($BF$4:$BL$4=CT$4,$BF23:$BL23)))+SUM(IF($BF$5:$BL$5="B",$BF23:$BL23))*BZ23)*$Q23</f>
        <v>0</v>
      </c>
      <c r="CU23" s="7">
        <f t="array" aca="1" ref="CU23" ca="1">(SUM(IF($BF$5:$BL$5=CU$5,IF($BF$4:$BL$4="B",$BF23:$BL23)))*BV23+SUM(IF($BF$5:$BL$5=CU$5,IF($BF$4:$BL$4=CU$4,$BF23:$BL23)))+SUM(IF($BF$5:$BL$5="B",$BF23:$BL23))*CA23)*$Q23</f>
        <v>0</v>
      </c>
      <c r="CV23" s="7">
        <f t="array" aca="1" ref="CV23" ca="1">(SUM(IF($BF$5:$BL$5=CV$5,IF($BF$4:$BL$4="B",$BF23:$BL23)))*BW23+SUM(IF($BF$5:$BL$5=CV$5,IF($BF$4:$BL$4=CV$4,$BF23:$BL23)))+SUM(IF($BF$5:$BL$5="B",$BF23:$BL23))*CB23)*$Q23</f>
        <v>0</v>
      </c>
      <c r="CW23" s="7"/>
      <c r="CX23" s="9">
        <f t="shared" si="72"/>
        <v>3900</v>
      </c>
      <c r="CY23" s="9">
        <f t="shared" si="134"/>
        <v>-3777.6699029126212</v>
      </c>
      <c r="CZ23" s="9">
        <f t="shared" si="135"/>
        <v>122.33009708737882</v>
      </c>
      <c r="DA23" s="9">
        <f t="shared" si="75"/>
        <v>112</v>
      </c>
      <c r="DB23" s="9">
        <f t="shared" si="136"/>
        <v>-234.33009708737865</v>
      </c>
      <c r="DC23" s="9">
        <f t="shared" si="137"/>
        <v>-122.33009708737865</v>
      </c>
      <c r="DD23" s="9">
        <f t="shared" si="78"/>
        <v>3900</v>
      </c>
      <c r="DE23" s="9">
        <f t="shared" ca="1" si="54"/>
        <v>-3200.029439058254</v>
      </c>
      <c r="DF23" s="9">
        <f t="shared" ca="1" si="138"/>
        <v>699.97056094174604</v>
      </c>
      <c r="DG23" s="9">
        <f t="shared" si="80"/>
        <v>112</v>
      </c>
      <c r="DH23" s="9">
        <f t="shared" ca="1" si="139"/>
        <v>-811.97056094174604</v>
      </c>
      <c r="DI23" s="9">
        <f t="shared" ca="1" si="140"/>
        <v>-699.97056094174604</v>
      </c>
      <c r="DJ23" s="9">
        <f t="shared" si="83"/>
        <v>3900</v>
      </c>
      <c r="DK23" s="9">
        <f t="shared" ca="1" si="55"/>
        <v>-3766.1631207641276</v>
      </c>
      <c r="DL23" s="9">
        <f t="shared" ca="1" si="141"/>
        <v>133.8368792358724</v>
      </c>
      <c r="DM23" s="9">
        <f t="shared" si="85"/>
        <v>112</v>
      </c>
      <c r="DN23" s="9">
        <f t="shared" ca="1" si="56"/>
        <v>-245.83687923587203</v>
      </c>
      <c r="DO23" s="9">
        <f t="shared" ca="1" si="142"/>
        <v>-133.83687923587203</v>
      </c>
      <c r="DP23" s="9">
        <f t="shared" si="87"/>
        <v>3900</v>
      </c>
      <c r="DQ23" s="9">
        <f t="shared" ca="1" si="57"/>
        <v>-3848.2357120917886</v>
      </c>
      <c r="DR23" s="9">
        <f t="shared" ca="1" si="143"/>
        <v>51.764287908211372</v>
      </c>
      <c r="DS23" s="9">
        <f t="shared" si="89"/>
        <v>112</v>
      </c>
      <c r="DT23" s="9">
        <f t="shared" ca="1" si="58"/>
        <v>-163.76428790821132</v>
      </c>
      <c r="DU23" s="9">
        <f t="shared" ca="1" si="144"/>
        <v>-51.764287908211315</v>
      </c>
    </row>
    <row r="24" spans="1:125" ht="14.45" x14ac:dyDescent="0.35">
      <c r="A24" s="16">
        <f t="shared" si="125"/>
        <v>800</v>
      </c>
      <c r="B24" s="14">
        <f t="shared" si="126"/>
        <v>10</v>
      </c>
      <c r="C24" s="9">
        <f t="shared" si="16"/>
        <v>10</v>
      </c>
      <c r="D24" s="14">
        <f t="shared" si="17"/>
        <v>302</v>
      </c>
      <c r="E24" s="34">
        <f t="shared" si="92"/>
        <v>0</v>
      </c>
      <c r="F24" s="15">
        <f t="shared" si="18"/>
        <v>0</v>
      </c>
      <c r="G24">
        <f t="shared" si="91"/>
        <v>10</v>
      </c>
      <c r="H24">
        <f t="shared" si="91"/>
        <v>1</v>
      </c>
      <c r="I24" s="5">
        <f>GenUnits!$V$12</f>
        <v>400</v>
      </c>
      <c r="J24" s="5">
        <f>GenUnits!$W$12</f>
        <v>122</v>
      </c>
      <c r="K24" s="14">
        <f t="shared" si="60"/>
        <v>302</v>
      </c>
      <c r="L24" s="14">
        <f t="shared" si="127"/>
        <v>400</v>
      </c>
      <c r="M24" s="14">
        <f t="shared" si="128"/>
        <v>122</v>
      </c>
      <c r="N24" s="34">
        <f>GenUnits!$V$11</f>
        <v>1297</v>
      </c>
      <c r="O24" s="34">
        <f>GenUnits!$W$11</f>
        <v>864</v>
      </c>
      <c r="P24" s="14">
        <f t="shared" si="19"/>
        <v>242</v>
      </c>
      <c r="Q24" s="14">
        <f t="shared" si="20"/>
        <v>1</v>
      </c>
      <c r="S24" s="7">
        <f t="shared" si="63"/>
        <v>400</v>
      </c>
      <c r="T24" s="7">
        <f t="shared" si="21"/>
        <v>112</v>
      </c>
      <c r="U24" s="7">
        <f t="shared" si="129"/>
        <v>512</v>
      </c>
      <c r="V24" s="7">
        <f t="shared" si="22"/>
        <v>4000</v>
      </c>
      <c r="W24" s="7">
        <f t="shared" si="23"/>
        <v>112</v>
      </c>
      <c r="X24" s="7">
        <f t="shared" si="130"/>
        <v>4112</v>
      </c>
      <c r="Y24" s="45"/>
      <c r="Z24" s="46" t="str">
        <f>$D24&amp;" MW"</f>
        <v>302 MW</v>
      </c>
      <c r="AA24" s="44">
        <f t="shared" si="66"/>
        <v>0</v>
      </c>
      <c r="AB24" s="7">
        <f t="shared" si="24"/>
        <v>390</v>
      </c>
      <c r="AC24" s="15">
        <f t="shared" si="25"/>
        <v>10</v>
      </c>
      <c r="AD24" s="8">
        <v>0</v>
      </c>
      <c r="AE24" s="15">
        <f t="shared" si="26"/>
        <v>0</v>
      </c>
      <c r="AF24" s="7">
        <f t="shared" si="67"/>
        <v>0</v>
      </c>
      <c r="AG24" s="7">
        <f t="shared" si="27"/>
        <v>112</v>
      </c>
      <c r="AH24" s="7">
        <f t="shared" si="131"/>
        <v>512</v>
      </c>
      <c r="AI24" s="7" t="b">
        <f t="shared" si="28"/>
        <v>1</v>
      </c>
      <c r="AJ24" s="7"/>
      <c r="AK24" s="7"/>
      <c r="AL24" s="7"/>
      <c r="AM24" s="7"/>
      <c r="AN24" s="7"/>
      <c r="AO24" s="7"/>
      <c r="AP24" s="7"/>
      <c r="AQ24" s="7"/>
      <c r="AR24" s="7"/>
      <c r="AS24" s="7"/>
      <c r="AT24" s="7"/>
      <c r="AU24" s="7"/>
      <c r="AV24" s="7">
        <f t="shared" si="29"/>
        <v>3900</v>
      </c>
      <c r="AW24" s="7">
        <f t="shared" si="30"/>
        <v>100</v>
      </c>
      <c r="AX24" s="7">
        <f t="shared" si="31"/>
        <v>0</v>
      </c>
      <c r="AY24" s="30">
        <f t="shared" si="32"/>
        <v>0</v>
      </c>
      <c r="AZ24" s="30">
        <f t="shared" si="33"/>
        <v>0</v>
      </c>
      <c r="BA24" s="30">
        <f t="shared" si="34"/>
        <v>112</v>
      </c>
      <c r="BB24" s="7">
        <f t="shared" si="132"/>
        <v>4112</v>
      </c>
      <c r="BC24" s="7" t="b">
        <f t="shared" si="35"/>
        <v>1</v>
      </c>
      <c r="BD24" s="7"/>
      <c r="BE24" s="7"/>
      <c r="BF24" s="7"/>
      <c r="BG24" s="7"/>
      <c r="BH24" s="7"/>
      <c r="BI24" s="7"/>
      <c r="BJ24" s="7"/>
      <c r="BK24" s="7"/>
      <c r="BL24" s="7"/>
      <c r="BM24" s="7"/>
      <c r="BN24" s="7"/>
      <c r="BO24" s="7"/>
      <c r="BP24" s="7">
        <f>MATCH($A24,GenUnits!$AX$43:$AX$48,1)</f>
        <v>4</v>
      </c>
      <c r="BQ24" s="7"/>
      <c r="BR24" s="2">
        <f t="shared" ca="1" si="36"/>
        <v>0.6902169860500027</v>
      </c>
      <c r="BS24" s="2">
        <f t="shared" ca="1" si="37"/>
        <v>0.19182986842379629</v>
      </c>
      <c r="BT24" s="2">
        <f t="shared" ca="1" si="38"/>
        <v>0.11795314552620097</v>
      </c>
      <c r="BU24" s="59">
        <f t="shared" ca="1" si="39"/>
        <v>0.85404911550473583</v>
      </c>
      <c r="BV24" s="59">
        <f t="shared" ca="1" si="40"/>
        <v>1</v>
      </c>
      <c r="BW24" s="59">
        <f t="shared" ca="1" si="41"/>
        <v>0.14595088449526419</v>
      </c>
      <c r="BX24" s="2">
        <f t="shared" si="42"/>
        <v>1.953125E-2</v>
      </c>
      <c r="BY24" s="2">
        <f t="shared" si="43"/>
        <v>1</v>
      </c>
      <c r="BZ24" s="60">
        <f t="shared" ca="1" si="44"/>
        <v>0.78251737144027811</v>
      </c>
      <c r="CA24" s="60">
        <f t="shared" ca="1" si="45"/>
        <v>0.21748262855972189</v>
      </c>
      <c r="CB24" s="52">
        <v>0</v>
      </c>
      <c r="CC24" s="2"/>
      <c r="CD24" s="7"/>
      <c r="CE24" s="7"/>
      <c r="CF24" s="7"/>
      <c r="CG24" s="7">
        <f t="shared" si="46"/>
        <v>0</v>
      </c>
      <c r="CH24" s="9">
        <f t="shared" si="133"/>
        <v>3371.0201429499675</v>
      </c>
      <c r="CI24" s="7">
        <f t="shared" si="71"/>
        <v>112</v>
      </c>
      <c r="CJ24" s="9">
        <f t="shared" si="47"/>
        <v>628.97985705003248</v>
      </c>
      <c r="CK24" s="7">
        <f t="shared" ca="1" si="48"/>
        <v>2838.1722466376109</v>
      </c>
      <c r="CL24" s="7">
        <f t="shared" ca="1" si="49"/>
        <v>788.80441895865033</v>
      </c>
      <c r="CM24" s="7">
        <f t="shared" ca="1" si="50"/>
        <v>485.02333440373837</v>
      </c>
      <c r="CN24" s="7">
        <f t="shared" ca="1" si="51"/>
        <v>3360.6129574751171</v>
      </c>
      <c r="CO24" s="7">
        <f t="shared" ca="1" si="52"/>
        <v>125.21883630778613</v>
      </c>
      <c r="CP24" s="7">
        <f t="shared" ca="1" si="53"/>
        <v>626.16820621709701</v>
      </c>
      <c r="CQ24" s="7">
        <f t="array" aca="1" ref="CQ24" ca="1">(SUM(IF($AV$5:$BA$5=CQ$5,$AV24:$BA24))*BU24+SUM(IF($AV$5:$BA$5="B",$AV24:$BA24))*BR24)*$Q24</f>
        <v>3399.8132490734702</v>
      </c>
      <c r="CR24" s="7">
        <f t="array" aca="1" ref="CR24" ca="1">(SUM(IF($AV$5:$BA$5=CR$5,$AV24:$BA24))*BV24+SUM(IF($AV$5:$BA$5="B",$AV24:$BA24))*BS24)*$Q24</f>
        <v>131.18298684237962</v>
      </c>
      <c r="CS24" s="7">
        <f t="array" aca="1" ref="CS24" ca="1">(SUM(IF($AV$5:$BA$5=CS$5,$AV24:$BA24))*BW24+SUM(IF($AV$5:$BA$5="B",$AV24:$BA24))*BT24)*$Q24</f>
        <v>581.00376408415048</v>
      </c>
      <c r="CT24" s="7">
        <f t="array" aca="1" ref="CT24" ca="1">(SUM(IF($BF$5:$BL$5=CT$5,IF($BF$4:$BL$4="B",$BF24:$BL24)))*BU24+SUM(IF($BF$5:$BL$5=CT$5,IF($BF$4:$BL$4=CT$4,$BF24:$BL24)))+SUM(IF($BF$5:$BL$5="B",$BF24:$BL24))*BZ24)*$Q24</f>
        <v>0</v>
      </c>
      <c r="CU24" s="7">
        <f t="array" aca="1" ref="CU24" ca="1">(SUM(IF($BF$5:$BL$5=CU$5,IF($BF$4:$BL$4="B",$BF24:$BL24)))*BV24+SUM(IF($BF$5:$BL$5=CU$5,IF($BF$4:$BL$4=CU$4,$BF24:$BL24)))+SUM(IF($BF$5:$BL$5="B",$BF24:$BL24))*CA24)*$Q24</f>
        <v>0</v>
      </c>
      <c r="CV24" s="7">
        <f t="array" aca="1" ref="CV24" ca="1">(SUM(IF($BF$5:$BL$5=CV$5,IF($BF$4:$BL$4="B",$BF24:$BL24)))*BW24+SUM(IF($BF$5:$BL$5=CV$5,IF($BF$4:$BL$4=CV$4,$BF24:$BL24)))+SUM(IF($BF$5:$BL$5="B",$BF24:$BL24))*CB24)*$Q24</f>
        <v>0</v>
      </c>
      <c r="CW24" s="7"/>
      <c r="CX24" s="9">
        <f t="shared" si="72"/>
        <v>4000</v>
      </c>
      <c r="CY24" s="9">
        <f t="shared" si="134"/>
        <v>-3371.0201429499675</v>
      </c>
      <c r="CZ24" s="9">
        <f t="shared" si="135"/>
        <v>628.97985705003248</v>
      </c>
      <c r="DA24" s="9">
        <f t="shared" si="75"/>
        <v>112</v>
      </c>
      <c r="DB24" s="9">
        <f t="shared" si="136"/>
        <v>-740.97985705003248</v>
      </c>
      <c r="DC24" s="9">
        <f t="shared" si="137"/>
        <v>-628.97985705003248</v>
      </c>
      <c r="DD24" s="9">
        <f t="shared" si="78"/>
        <v>4000</v>
      </c>
      <c r="DE24" s="9">
        <f t="shared" ca="1" si="54"/>
        <v>-2838.1722466376109</v>
      </c>
      <c r="DF24" s="9">
        <f t="shared" ca="1" si="138"/>
        <v>1161.8277533623891</v>
      </c>
      <c r="DG24" s="9">
        <f t="shared" si="80"/>
        <v>112</v>
      </c>
      <c r="DH24" s="9">
        <f t="shared" ca="1" si="139"/>
        <v>-1273.8277533623886</v>
      </c>
      <c r="DI24" s="9">
        <f t="shared" ca="1" si="140"/>
        <v>-1161.8277533623886</v>
      </c>
      <c r="DJ24" s="9">
        <f t="shared" si="83"/>
        <v>4000</v>
      </c>
      <c r="DK24" s="9">
        <f t="shared" ca="1" si="55"/>
        <v>-3360.6129574751171</v>
      </c>
      <c r="DL24" s="9">
        <f t="shared" ca="1" si="141"/>
        <v>639.38704252488287</v>
      </c>
      <c r="DM24" s="9">
        <f t="shared" si="85"/>
        <v>112</v>
      </c>
      <c r="DN24" s="9">
        <f t="shared" ca="1" si="56"/>
        <v>-751.3870425248831</v>
      </c>
      <c r="DO24" s="9">
        <f t="shared" ca="1" si="142"/>
        <v>-639.3870425248831</v>
      </c>
      <c r="DP24" s="9">
        <f t="shared" si="87"/>
        <v>4000</v>
      </c>
      <c r="DQ24" s="9">
        <f t="shared" ca="1" si="57"/>
        <v>-3399.8132490734702</v>
      </c>
      <c r="DR24" s="9">
        <f t="shared" ca="1" si="143"/>
        <v>600.18675092652984</v>
      </c>
      <c r="DS24" s="9">
        <f t="shared" si="89"/>
        <v>112</v>
      </c>
      <c r="DT24" s="9">
        <f t="shared" ca="1" si="58"/>
        <v>-712.18675092653007</v>
      </c>
      <c r="DU24" s="9">
        <f t="shared" ca="1" si="144"/>
        <v>-600.18675092653007</v>
      </c>
    </row>
    <row r="25" spans="1:125" ht="14.45" x14ac:dyDescent="0.35">
      <c r="A25" s="16">
        <f t="shared" si="125"/>
        <v>800</v>
      </c>
      <c r="B25" s="14">
        <f t="shared" si="126"/>
        <v>10</v>
      </c>
      <c r="C25" s="9">
        <f t="shared" si="16"/>
        <v>10</v>
      </c>
      <c r="D25" s="14">
        <f t="shared" si="17"/>
        <v>302</v>
      </c>
      <c r="E25" s="34">
        <f t="shared" si="92"/>
        <v>10</v>
      </c>
      <c r="F25" s="15">
        <f t="shared" si="18"/>
        <v>10</v>
      </c>
      <c r="G25">
        <f t="shared" si="91"/>
        <v>10</v>
      </c>
      <c r="H25">
        <f t="shared" si="91"/>
        <v>1</v>
      </c>
      <c r="I25" s="5">
        <f>GenUnits!$V$12</f>
        <v>400</v>
      </c>
      <c r="J25" s="5">
        <f>GenUnits!$W$12</f>
        <v>122</v>
      </c>
      <c r="K25" s="14">
        <f t="shared" si="60"/>
        <v>302</v>
      </c>
      <c r="L25" s="14">
        <f t="shared" si="127"/>
        <v>400</v>
      </c>
      <c r="M25" s="14">
        <f t="shared" si="128"/>
        <v>122</v>
      </c>
      <c r="N25" s="34">
        <f>GenUnits!$V$11</f>
        <v>1297</v>
      </c>
      <c r="O25" s="34">
        <f>GenUnits!$W$11</f>
        <v>864</v>
      </c>
      <c r="P25" s="14">
        <f t="shared" si="19"/>
        <v>242</v>
      </c>
      <c r="Q25" s="14">
        <f t="shared" si="20"/>
        <v>1</v>
      </c>
      <c r="S25" s="7">
        <f t="shared" si="63"/>
        <v>390</v>
      </c>
      <c r="T25" s="7">
        <f t="shared" si="21"/>
        <v>112</v>
      </c>
      <c r="U25" s="7">
        <f t="shared" si="129"/>
        <v>502</v>
      </c>
      <c r="V25" s="7">
        <f t="shared" si="22"/>
        <v>3900</v>
      </c>
      <c r="W25" s="7">
        <f t="shared" si="23"/>
        <v>112</v>
      </c>
      <c r="X25" s="7">
        <f t="shared" si="130"/>
        <v>4012</v>
      </c>
      <c r="Y25" s="45"/>
      <c r="Z25" s="46"/>
      <c r="AA25" s="44">
        <f t="shared" si="66"/>
        <v>10</v>
      </c>
      <c r="AB25" s="7">
        <f t="shared" si="24"/>
        <v>380</v>
      </c>
      <c r="AC25" s="15">
        <f t="shared" si="25"/>
        <v>10</v>
      </c>
      <c r="AD25" s="8">
        <v>0</v>
      </c>
      <c r="AE25" s="15">
        <f t="shared" si="26"/>
        <v>0</v>
      </c>
      <c r="AF25" s="7">
        <f t="shared" si="67"/>
        <v>10</v>
      </c>
      <c r="AG25" s="7">
        <f t="shared" si="27"/>
        <v>102</v>
      </c>
      <c r="AH25" s="7">
        <f t="shared" si="131"/>
        <v>502</v>
      </c>
      <c r="AI25" s="7" t="b">
        <f t="shared" si="28"/>
        <v>1</v>
      </c>
      <c r="AJ25" s="7"/>
      <c r="AK25" s="7"/>
      <c r="AL25" s="7"/>
      <c r="AM25" s="7"/>
      <c r="AN25" s="7"/>
      <c r="AO25" s="7"/>
      <c r="AP25" s="7"/>
      <c r="AQ25" s="7"/>
      <c r="AR25" s="7"/>
      <c r="AS25" s="7"/>
      <c r="AT25" s="7"/>
      <c r="AU25" s="7"/>
      <c r="AV25" s="7">
        <f t="shared" si="29"/>
        <v>3800</v>
      </c>
      <c r="AW25" s="7">
        <f t="shared" si="30"/>
        <v>100</v>
      </c>
      <c r="AX25" s="7">
        <f t="shared" si="31"/>
        <v>0</v>
      </c>
      <c r="AY25" s="30">
        <f t="shared" si="32"/>
        <v>0</v>
      </c>
      <c r="AZ25" s="30">
        <f t="shared" si="33"/>
        <v>10</v>
      </c>
      <c r="BA25" s="30">
        <f t="shared" si="34"/>
        <v>102</v>
      </c>
      <c r="BB25" s="7">
        <f t="shared" si="132"/>
        <v>4012</v>
      </c>
      <c r="BC25" s="7" t="b">
        <f t="shared" si="35"/>
        <v>1</v>
      </c>
      <c r="BD25" s="7"/>
      <c r="BE25" s="7"/>
      <c r="BF25" s="7"/>
      <c r="BG25" s="7"/>
      <c r="BH25" s="7"/>
      <c r="BI25" s="7"/>
      <c r="BJ25" s="7"/>
      <c r="BK25" s="7"/>
      <c r="BL25" s="7"/>
      <c r="BM25" s="7"/>
      <c r="BN25" s="7"/>
      <c r="BO25" s="7"/>
      <c r="BP25" s="7">
        <f>MATCH($A25,GenUnits!$AX$43:$AX$48,1)</f>
        <v>4</v>
      </c>
      <c r="BQ25" s="7"/>
      <c r="BR25" s="2">
        <f t="shared" ca="1" si="36"/>
        <v>0.6902169860500027</v>
      </c>
      <c r="BS25" s="2">
        <f t="shared" ca="1" si="37"/>
        <v>0.19182986842379629</v>
      </c>
      <c r="BT25" s="2">
        <f t="shared" ca="1" si="38"/>
        <v>0.11795314552620097</v>
      </c>
      <c r="BU25" s="59">
        <f t="shared" ca="1" si="39"/>
        <v>0.85404911550473583</v>
      </c>
      <c r="BV25" s="59">
        <f t="shared" ca="1" si="40"/>
        <v>1</v>
      </c>
      <c r="BW25" s="59">
        <f t="shared" ca="1" si="41"/>
        <v>0.14595088449526419</v>
      </c>
      <c r="BX25" s="2">
        <f t="shared" si="42"/>
        <v>1.9920318725099601E-2</v>
      </c>
      <c r="BY25" s="2">
        <f t="shared" si="43"/>
        <v>0.91803278688524592</v>
      </c>
      <c r="BZ25" s="60">
        <f t="shared" ca="1" si="44"/>
        <v>0.78251737144027811</v>
      </c>
      <c r="CA25" s="60">
        <f t="shared" ca="1" si="45"/>
        <v>0.21748262855972189</v>
      </c>
      <c r="CB25" s="52">
        <v>0</v>
      </c>
      <c r="CC25" s="2"/>
      <c r="CD25" s="7"/>
      <c r="CE25" s="7"/>
      <c r="CF25" s="7"/>
      <c r="CG25" s="7">
        <f t="shared" si="46"/>
        <v>10</v>
      </c>
      <c r="CH25" s="9">
        <f t="shared" si="133"/>
        <v>3286.7446393762184</v>
      </c>
      <c r="CI25" s="7">
        <f t="shared" si="71"/>
        <v>112</v>
      </c>
      <c r="CJ25" s="9">
        <f t="shared" si="47"/>
        <v>613.25536062378171</v>
      </c>
      <c r="CK25" s="7">
        <f t="shared" ca="1" si="48"/>
        <v>2769.1505480326109</v>
      </c>
      <c r="CL25" s="7">
        <f t="shared" ca="1" si="49"/>
        <v>769.62143211627074</v>
      </c>
      <c r="CM25" s="7">
        <f t="shared" ca="1" si="50"/>
        <v>473.22801985111829</v>
      </c>
      <c r="CN25" s="7">
        <f t="shared" ca="1" si="51"/>
        <v>3276.4340001064256</v>
      </c>
      <c r="CO25" s="7">
        <f t="shared" ca="1" si="52"/>
        <v>125.10002852821256</v>
      </c>
      <c r="CP25" s="7">
        <f t="shared" ca="1" si="53"/>
        <v>610.46597136536218</v>
      </c>
      <c r="CQ25" s="7">
        <f t="array" aca="1" ref="CQ25" ca="1">(SUM(IF($AV$5:$BA$5=CQ$5,$AV25:$BA25))*BU25+SUM(IF($AV$5:$BA$5="B",$AV25:$BA25))*BR25)*$Q25</f>
        <v>3321.3105073834963</v>
      </c>
      <c r="CR25" s="7">
        <f t="array" aca="1" ref="CR25" ca="1">(SUM(IF($AV$5:$BA$5=CR$5,$AV25:$BA25))*BV25+SUM(IF($AV$5:$BA$5="B",$AV25:$BA25))*BS25)*$Q25</f>
        <v>123.10128552661759</v>
      </c>
      <c r="CS25" s="7">
        <f t="array" aca="1" ref="CS25" ca="1">(SUM(IF($AV$5:$BA$5=CS$5,$AV25:$BA25))*BW25+SUM(IF($AV$5:$BA$5="B",$AV25:$BA25))*BT25)*$Q25</f>
        <v>567.58820708988605</v>
      </c>
      <c r="CT25" s="7">
        <f t="array" aca="1" ref="CT25" ca="1">(SUM(IF($BF$5:$BL$5=CT$5,IF($BF$4:$BL$4="B",$BF25:$BL25)))*BU25+SUM(IF($BF$5:$BL$5=CT$5,IF($BF$4:$BL$4=CT$4,$BF25:$BL25)))+SUM(IF($BF$5:$BL$5="B",$BF25:$BL25))*BZ25)*$Q25</f>
        <v>0</v>
      </c>
      <c r="CU25" s="7">
        <f t="array" aca="1" ref="CU25" ca="1">(SUM(IF($BF$5:$BL$5=CU$5,IF($BF$4:$BL$4="B",$BF25:$BL25)))*BV25+SUM(IF($BF$5:$BL$5=CU$5,IF($BF$4:$BL$4=CU$4,$BF25:$BL25)))+SUM(IF($BF$5:$BL$5="B",$BF25:$BL25))*CA25)*$Q25</f>
        <v>0</v>
      </c>
      <c r="CV25" s="7">
        <f t="array" aca="1" ref="CV25" ca="1">(SUM(IF($BF$5:$BL$5=CV$5,IF($BF$4:$BL$4="B",$BF25:$BL25)))*BW25+SUM(IF($BF$5:$BL$5=CV$5,IF($BF$4:$BL$4=CV$4,$BF25:$BL25)))+SUM(IF($BF$5:$BL$5="B",$BF25:$BL25))*CB25)*$Q25</f>
        <v>0</v>
      </c>
      <c r="CW25" s="7"/>
      <c r="CX25" s="9">
        <f t="shared" si="72"/>
        <v>3900</v>
      </c>
      <c r="CY25" s="9">
        <f t="shared" si="134"/>
        <v>-3286.7446393762184</v>
      </c>
      <c r="CZ25" s="9">
        <f t="shared" si="135"/>
        <v>613.2553606237816</v>
      </c>
      <c r="DA25" s="9">
        <f t="shared" si="75"/>
        <v>112</v>
      </c>
      <c r="DB25" s="9">
        <f t="shared" si="136"/>
        <v>-725.25536062378171</v>
      </c>
      <c r="DC25" s="9">
        <f t="shared" si="137"/>
        <v>-613.25536062378171</v>
      </c>
      <c r="DD25" s="9">
        <f t="shared" si="78"/>
        <v>3900</v>
      </c>
      <c r="DE25" s="9">
        <f t="shared" ca="1" si="54"/>
        <v>-2769.1505480326109</v>
      </c>
      <c r="DF25" s="9">
        <f t="shared" ca="1" si="138"/>
        <v>1130.8494519673891</v>
      </c>
      <c r="DG25" s="9">
        <f t="shared" si="80"/>
        <v>112</v>
      </c>
      <c r="DH25" s="9">
        <f t="shared" ca="1" si="139"/>
        <v>-1242.8494519673891</v>
      </c>
      <c r="DI25" s="9">
        <f t="shared" ca="1" si="140"/>
        <v>-1130.8494519673891</v>
      </c>
      <c r="DJ25" s="9">
        <f t="shared" si="83"/>
        <v>3900</v>
      </c>
      <c r="DK25" s="9">
        <f t="shared" ca="1" si="55"/>
        <v>-3276.4340001064256</v>
      </c>
      <c r="DL25" s="9">
        <f t="shared" ca="1" si="141"/>
        <v>623.56599989357437</v>
      </c>
      <c r="DM25" s="9">
        <f t="shared" si="85"/>
        <v>112</v>
      </c>
      <c r="DN25" s="9">
        <f t="shared" ca="1" si="56"/>
        <v>-735.56599989357471</v>
      </c>
      <c r="DO25" s="9">
        <f t="shared" ca="1" si="142"/>
        <v>-623.56599989357471</v>
      </c>
      <c r="DP25" s="9">
        <f t="shared" si="87"/>
        <v>3900</v>
      </c>
      <c r="DQ25" s="9">
        <f t="shared" ca="1" si="57"/>
        <v>-3321.3105073834963</v>
      </c>
      <c r="DR25" s="9">
        <f t="shared" ca="1" si="143"/>
        <v>578.68949261650368</v>
      </c>
      <c r="DS25" s="9">
        <f t="shared" si="89"/>
        <v>112</v>
      </c>
      <c r="DT25" s="9">
        <f t="shared" ca="1" si="58"/>
        <v>-690.68949261650368</v>
      </c>
      <c r="DU25" s="9">
        <f t="shared" ca="1" si="144"/>
        <v>-578.68949261650368</v>
      </c>
    </row>
    <row r="26" spans="1:125" ht="14.45" x14ac:dyDescent="0.35">
      <c r="A26" s="16">
        <f t="shared" si="125"/>
        <v>800</v>
      </c>
      <c r="B26" s="14">
        <f t="shared" si="126"/>
        <v>10</v>
      </c>
      <c r="C26" s="9">
        <f t="shared" si="16"/>
        <v>10</v>
      </c>
      <c r="D26" s="14">
        <f t="shared" si="17"/>
        <v>302</v>
      </c>
      <c r="E26" s="34">
        <f t="shared" si="92"/>
        <v>100</v>
      </c>
      <c r="F26" s="15">
        <f t="shared" si="18"/>
        <v>10</v>
      </c>
      <c r="G26">
        <f t="shared" si="91"/>
        <v>10</v>
      </c>
      <c r="H26">
        <f t="shared" si="91"/>
        <v>1</v>
      </c>
      <c r="I26" s="5">
        <f>GenUnits!$V$12</f>
        <v>400</v>
      </c>
      <c r="J26" s="5">
        <f>GenUnits!$W$12</f>
        <v>122</v>
      </c>
      <c r="K26" s="14">
        <f t="shared" si="60"/>
        <v>302</v>
      </c>
      <c r="L26" s="14">
        <f t="shared" si="127"/>
        <v>400</v>
      </c>
      <c r="M26" s="14">
        <f t="shared" si="128"/>
        <v>122</v>
      </c>
      <c r="N26" s="34">
        <f>GenUnits!$V$11</f>
        <v>1297</v>
      </c>
      <c r="O26" s="34">
        <f>GenUnits!$W$11</f>
        <v>864</v>
      </c>
      <c r="P26" s="14">
        <f t="shared" si="19"/>
        <v>242</v>
      </c>
      <c r="Q26" s="14">
        <f t="shared" si="20"/>
        <v>1</v>
      </c>
      <c r="S26" s="7">
        <f t="shared" si="63"/>
        <v>390</v>
      </c>
      <c r="T26" s="7">
        <f t="shared" si="21"/>
        <v>112</v>
      </c>
      <c r="U26" s="7">
        <f t="shared" si="129"/>
        <v>502</v>
      </c>
      <c r="V26" s="7">
        <f t="shared" si="22"/>
        <v>3900</v>
      </c>
      <c r="W26" s="7">
        <f t="shared" si="23"/>
        <v>112</v>
      </c>
      <c r="X26" s="7">
        <f t="shared" si="130"/>
        <v>4012</v>
      </c>
      <c r="Y26" s="45"/>
      <c r="Z26" s="46"/>
      <c r="AA26" s="44">
        <f t="shared" si="66"/>
        <v>100</v>
      </c>
      <c r="AB26" s="7">
        <f t="shared" si="24"/>
        <v>380</v>
      </c>
      <c r="AC26" s="15">
        <f t="shared" si="25"/>
        <v>10</v>
      </c>
      <c r="AD26" s="8">
        <v>0</v>
      </c>
      <c r="AE26" s="15">
        <f t="shared" si="26"/>
        <v>0</v>
      </c>
      <c r="AF26" s="7">
        <f t="shared" si="67"/>
        <v>10</v>
      </c>
      <c r="AG26" s="7">
        <f t="shared" si="27"/>
        <v>102</v>
      </c>
      <c r="AH26" s="7">
        <f t="shared" si="131"/>
        <v>502</v>
      </c>
      <c r="AI26" s="7" t="b">
        <f t="shared" si="28"/>
        <v>1</v>
      </c>
      <c r="AJ26" s="7"/>
      <c r="AK26" s="7"/>
      <c r="AL26" s="7"/>
      <c r="AM26" s="7"/>
      <c r="AN26" s="7"/>
      <c r="AO26" s="7"/>
      <c r="AP26" s="7"/>
      <c r="AQ26" s="7"/>
      <c r="AR26" s="7"/>
      <c r="AS26" s="7"/>
      <c r="AT26" s="7"/>
      <c r="AU26" s="7"/>
      <c r="AV26" s="7">
        <f t="shared" si="29"/>
        <v>3800</v>
      </c>
      <c r="AW26" s="7">
        <f t="shared" si="30"/>
        <v>100</v>
      </c>
      <c r="AX26" s="7">
        <f t="shared" si="31"/>
        <v>0</v>
      </c>
      <c r="AY26" s="30">
        <f t="shared" si="32"/>
        <v>0</v>
      </c>
      <c r="AZ26" s="30">
        <f t="shared" si="33"/>
        <v>10</v>
      </c>
      <c r="BA26" s="30">
        <f t="shared" si="34"/>
        <v>102</v>
      </c>
      <c r="BB26" s="7">
        <f t="shared" si="132"/>
        <v>4012</v>
      </c>
      <c r="BC26" s="7" t="b">
        <f t="shared" si="35"/>
        <v>1</v>
      </c>
      <c r="BD26" s="7"/>
      <c r="BE26" s="7"/>
      <c r="BF26" s="7"/>
      <c r="BG26" s="7"/>
      <c r="BH26" s="7"/>
      <c r="BI26" s="7"/>
      <c r="BJ26" s="7"/>
      <c r="BK26" s="7"/>
      <c r="BL26" s="7"/>
      <c r="BM26" s="7"/>
      <c r="BN26" s="7"/>
      <c r="BO26" s="7"/>
      <c r="BP26" s="7">
        <f>MATCH($A26,GenUnits!$AX$43:$AX$48,1)</f>
        <v>4</v>
      </c>
      <c r="BQ26" s="7"/>
      <c r="BR26" s="2">
        <f t="shared" ca="1" si="36"/>
        <v>0.6902169860500027</v>
      </c>
      <c r="BS26" s="2">
        <f t="shared" ca="1" si="37"/>
        <v>0.19182986842379629</v>
      </c>
      <c r="BT26" s="2">
        <f t="shared" ca="1" si="38"/>
        <v>0.11795314552620097</v>
      </c>
      <c r="BU26" s="59">
        <f t="shared" ca="1" si="39"/>
        <v>0.85404911550473583</v>
      </c>
      <c r="BV26" s="59">
        <f t="shared" ca="1" si="40"/>
        <v>1</v>
      </c>
      <c r="BW26" s="59">
        <f t="shared" ca="1" si="41"/>
        <v>0.14595088449526419</v>
      </c>
      <c r="BX26" s="2">
        <f t="shared" si="42"/>
        <v>1.9920318725099601E-2</v>
      </c>
      <c r="BY26" s="2">
        <f t="shared" si="43"/>
        <v>0.91803278688524592</v>
      </c>
      <c r="BZ26" s="60">
        <f t="shared" ca="1" si="44"/>
        <v>0.78251737144027811</v>
      </c>
      <c r="CA26" s="60">
        <f t="shared" ca="1" si="45"/>
        <v>0.21748262855972189</v>
      </c>
      <c r="CB26" s="52">
        <v>0</v>
      </c>
      <c r="CC26" s="2"/>
      <c r="CD26" s="7"/>
      <c r="CE26" s="7"/>
      <c r="CF26" s="7"/>
      <c r="CG26" s="7">
        <f t="shared" si="46"/>
        <v>100</v>
      </c>
      <c r="CH26" s="9">
        <f t="shared" si="133"/>
        <v>3286.7446393762184</v>
      </c>
      <c r="CI26" s="7">
        <f t="shared" si="71"/>
        <v>112</v>
      </c>
      <c r="CJ26" s="9">
        <f t="shared" si="47"/>
        <v>613.25536062378171</v>
      </c>
      <c r="CK26" s="7">
        <f t="shared" ca="1" si="48"/>
        <v>2769.1505480326109</v>
      </c>
      <c r="CL26" s="7">
        <f t="shared" ca="1" si="49"/>
        <v>769.62143211627074</v>
      </c>
      <c r="CM26" s="7">
        <f t="shared" ca="1" si="50"/>
        <v>473.22801985111829</v>
      </c>
      <c r="CN26" s="7">
        <f t="shared" ca="1" si="51"/>
        <v>3276.4340001064256</v>
      </c>
      <c r="CO26" s="7">
        <f t="shared" ca="1" si="52"/>
        <v>125.10002852821256</v>
      </c>
      <c r="CP26" s="7">
        <f t="shared" ca="1" si="53"/>
        <v>610.46597136536218</v>
      </c>
      <c r="CQ26" s="7">
        <f t="array" aca="1" ref="CQ26" ca="1">(SUM(IF($AV$5:$BA$5=CQ$5,$AV26:$BA26))*BU26+SUM(IF($AV$5:$BA$5="B",$AV26:$BA26))*BR26)*$Q26</f>
        <v>3321.3105073834963</v>
      </c>
      <c r="CR26" s="7">
        <f t="array" aca="1" ref="CR26" ca="1">(SUM(IF($AV$5:$BA$5=CR$5,$AV26:$BA26))*BV26+SUM(IF($AV$5:$BA$5="B",$AV26:$BA26))*BS26)*$Q26</f>
        <v>123.10128552661759</v>
      </c>
      <c r="CS26" s="7">
        <f t="array" aca="1" ref="CS26" ca="1">(SUM(IF($AV$5:$BA$5=CS$5,$AV26:$BA26))*BW26+SUM(IF($AV$5:$BA$5="B",$AV26:$BA26))*BT26)*$Q26</f>
        <v>567.58820708988605</v>
      </c>
      <c r="CT26" s="7">
        <f t="array" aca="1" ref="CT26" ca="1">(SUM(IF($BF$5:$BL$5=CT$5,IF($BF$4:$BL$4="B",$BF26:$BL26)))*BU26+SUM(IF($BF$5:$BL$5=CT$5,IF($BF$4:$BL$4=CT$4,$BF26:$BL26)))+SUM(IF($BF$5:$BL$5="B",$BF26:$BL26))*BZ26)*$Q26</f>
        <v>0</v>
      </c>
      <c r="CU26" s="7">
        <f t="array" aca="1" ref="CU26" ca="1">(SUM(IF($BF$5:$BL$5=CU$5,IF($BF$4:$BL$4="B",$BF26:$BL26)))*BV26+SUM(IF($BF$5:$BL$5=CU$5,IF($BF$4:$BL$4=CU$4,$BF26:$BL26)))+SUM(IF($BF$5:$BL$5="B",$BF26:$BL26))*CA26)*$Q26</f>
        <v>0</v>
      </c>
      <c r="CV26" s="7">
        <f t="array" aca="1" ref="CV26" ca="1">(SUM(IF($BF$5:$BL$5=CV$5,IF($BF$4:$BL$4="B",$BF26:$BL26)))*BW26+SUM(IF($BF$5:$BL$5=CV$5,IF($BF$4:$BL$4=CV$4,$BF26:$BL26)))+SUM(IF($BF$5:$BL$5="B",$BF26:$BL26))*CB26)*$Q26</f>
        <v>0</v>
      </c>
      <c r="CW26" s="7"/>
      <c r="CX26" s="9">
        <f t="shared" si="72"/>
        <v>3900</v>
      </c>
      <c r="CY26" s="9">
        <f t="shared" si="134"/>
        <v>-3286.7446393762184</v>
      </c>
      <c r="CZ26" s="9">
        <f t="shared" si="135"/>
        <v>613.2553606237816</v>
      </c>
      <c r="DA26" s="9">
        <f t="shared" si="75"/>
        <v>112</v>
      </c>
      <c r="DB26" s="9">
        <f t="shared" si="136"/>
        <v>-725.25536062378171</v>
      </c>
      <c r="DC26" s="9">
        <f t="shared" si="137"/>
        <v>-613.25536062378171</v>
      </c>
      <c r="DD26" s="9">
        <f t="shared" si="78"/>
        <v>3900</v>
      </c>
      <c r="DE26" s="9">
        <f t="shared" ca="1" si="54"/>
        <v>-2769.1505480326109</v>
      </c>
      <c r="DF26" s="9">
        <f t="shared" ca="1" si="138"/>
        <v>1130.8494519673891</v>
      </c>
      <c r="DG26" s="9">
        <f t="shared" si="80"/>
        <v>112</v>
      </c>
      <c r="DH26" s="9">
        <f t="shared" ca="1" si="139"/>
        <v>-1242.8494519673891</v>
      </c>
      <c r="DI26" s="9">
        <f t="shared" ca="1" si="140"/>
        <v>-1130.8494519673891</v>
      </c>
      <c r="DJ26" s="9">
        <f t="shared" si="83"/>
        <v>3900</v>
      </c>
      <c r="DK26" s="9">
        <f t="shared" ca="1" si="55"/>
        <v>-3276.4340001064256</v>
      </c>
      <c r="DL26" s="9">
        <f t="shared" ca="1" si="141"/>
        <v>623.56599989357437</v>
      </c>
      <c r="DM26" s="9">
        <f t="shared" si="85"/>
        <v>112</v>
      </c>
      <c r="DN26" s="9">
        <f t="shared" ca="1" si="56"/>
        <v>-735.56599989357471</v>
      </c>
      <c r="DO26" s="9">
        <f t="shared" ca="1" si="142"/>
        <v>-623.56599989357471</v>
      </c>
      <c r="DP26" s="9">
        <f t="shared" si="87"/>
        <v>3900</v>
      </c>
      <c r="DQ26" s="9">
        <f t="shared" ca="1" si="57"/>
        <v>-3321.3105073834963</v>
      </c>
      <c r="DR26" s="9">
        <f t="shared" ca="1" si="143"/>
        <v>578.68949261650368</v>
      </c>
      <c r="DS26" s="9">
        <f t="shared" si="89"/>
        <v>112</v>
      </c>
      <c r="DT26" s="9">
        <f t="shared" ca="1" si="58"/>
        <v>-690.68949261650368</v>
      </c>
      <c r="DU26" s="9">
        <f t="shared" ca="1" si="144"/>
        <v>-578.68949261650368</v>
      </c>
    </row>
    <row r="27" spans="1:125" ht="14.45" x14ac:dyDescent="0.35">
      <c r="A27" s="16">
        <f t="shared" si="125"/>
        <v>800</v>
      </c>
      <c r="B27" s="14">
        <f t="shared" si="126"/>
        <v>10</v>
      </c>
      <c r="C27" s="9">
        <f t="shared" si="16"/>
        <v>10</v>
      </c>
      <c r="D27" s="14">
        <f t="shared" si="17"/>
        <v>302</v>
      </c>
      <c r="E27" s="34">
        <f t="shared" si="92"/>
        <v>220</v>
      </c>
      <c r="F27" s="15">
        <f t="shared" si="18"/>
        <v>10</v>
      </c>
      <c r="G27">
        <f t="shared" si="91"/>
        <v>10</v>
      </c>
      <c r="H27">
        <f t="shared" si="91"/>
        <v>1</v>
      </c>
      <c r="I27" s="5">
        <f>GenUnits!$V$12</f>
        <v>400</v>
      </c>
      <c r="J27" s="5">
        <f>GenUnits!$W$12</f>
        <v>122</v>
      </c>
      <c r="K27" s="14">
        <f t="shared" si="60"/>
        <v>302</v>
      </c>
      <c r="L27" s="14">
        <f t="shared" si="127"/>
        <v>400</v>
      </c>
      <c r="M27" s="14">
        <f t="shared" si="128"/>
        <v>122</v>
      </c>
      <c r="N27" s="34">
        <f>GenUnits!$V$11</f>
        <v>1297</v>
      </c>
      <c r="O27" s="34">
        <f>GenUnits!$W$11</f>
        <v>864</v>
      </c>
      <c r="P27" s="14">
        <f t="shared" si="19"/>
        <v>242</v>
      </c>
      <c r="Q27" s="14">
        <f t="shared" si="20"/>
        <v>1</v>
      </c>
      <c r="S27" s="7">
        <f t="shared" si="63"/>
        <v>390</v>
      </c>
      <c r="T27" s="7">
        <f t="shared" si="21"/>
        <v>112</v>
      </c>
      <c r="U27" s="7">
        <f t="shared" si="129"/>
        <v>502</v>
      </c>
      <c r="V27" s="7">
        <f t="shared" si="22"/>
        <v>3900</v>
      </c>
      <c r="W27" s="7">
        <f t="shared" si="23"/>
        <v>112</v>
      </c>
      <c r="X27" s="7">
        <f t="shared" si="130"/>
        <v>4012</v>
      </c>
      <c r="Y27" s="45"/>
      <c r="Z27" s="46"/>
      <c r="AA27" s="44">
        <f t="shared" si="66"/>
        <v>220</v>
      </c>
      <c r="AB27" s="7">
        <f t="shared" si="24"/>
        <v>380</v>
      </c>
      <c r="AC27" s="15">
        <f t="shared" si="25"/>
        <v>10</v>
      </c>
      <c r="AD27" s="8">
        <v>0</v>
      </c>
      <c r="AE27" s="15">
        <f t="shared" si="26"/>
        <v>0</v>
      </c>
      <c r="AF27" s="7">
        <f t="shared" si="67"/>
        <v>10</v>
      </c>
      <c r="AG27" s="7">
        <f t="shared" si="27"/>
        <v>102</v>
      </c>
      <c r="AH27" s="7">
        <f t="shared" si="131"/>
        <v>502</v>
      </c>
      <c r="AI27" s="7" t="b">
        <f t="shared" si="28"/>
        <v>1</v>
      </c>
      <c r="AJ27" s="7"/>
      <c r="AK27" s="7"/>
      <c r="AL27" s="7"/>
      <c r="AM27" s="7"/>
      <c r="AN27" s="7"/>
      <c r="AO27" s="7"/>
      <c r="AP27" s="7"/>
      <c r="AQ27" s="7"/>
      <c r="AR27" s="7"/>
      <c r="AS27" s="7"/>
      <c r="AT27" s="7"/>
      <c r="AU27" s="7"/>
      <c r="AV27" s="7">
        <f t="shared" si="29"/>
        <v>3800</v>
      </c>
      <c r="AW27" s="7">
        <f t="shared" si="30"/>
        <v>100</v>
      </c>
      <c r="AX27" s="7">
        <f t="shared" si="31"/>
        <v>0</v>
      </c>
      <c r="AY27" s="30">
        <f t="shared" si="32"/>
        <v>0</v>
      </c>
      <c r="AZ27" s="30">
        <f t="shared" si="33"/>
        <v>10</v>
      </c>
      <c r="BA27" s="30">
        <f t="shared" si="34"/>
        <v>102</v>
      </c>
      <c r="BB27" s="7">
        <f t="shared" si="132"/>
        <v>4012</v>
      </c>
      <c r="BC27" s="7" t="b">
        <f t="shared" si="35"/>
        <v>1</v>
      </c>
      <c r="BD27" s="7"/>
      <c r="BE27" s="7"/>
      <c r="BF27" s="7"/>
      <c r="BG27" s="7"/>
      <c r="BH27" s="7"/>
      <c r="BI27" s="7"/>
      <c r="BJ27" s="7"/>
      <c r="BK27" s="7"/>
      <c r="BL27" s="7"/>
      <c r="BM27" s="7"/>
      <c r="BN27" s="7"/>
      <c r="BO27" s="7"/>
      <c r="BP27" s="7">
        <f>MATCH($A27,GenUnits!$AX$43:$AX$48,1)</f>
        <v>4</v>
      </c>
      <c r="BQ27" s="7"/>
      <c r="BR27" s="2">
        <f t="shared" ca="1" si="36"/>
        <v>0.6902169860500027</v>
      </c>
      <c r="BS27" s="2">
        <f t="shared" ca="1" si="37"/>
        <v>0.19182986842379629</v>
      </c>
      <c r="BT27" s="2">
        <f t="shared" ca="1" si="38"/>
        <v>0.11795314552620097</v>
      </c>
      <c r="BU27" s="59">
        <f t="shared" ca="1" si="39"/>
        <v>0.85404911550473583</v>
      </c>
      <c r="BV27" s="59">
        <f t="shared" ca="1" si="40"/>
        <v>1</v>
      </c>
      <c r="BW27" s="59">
        <f t="shared" ca="1" si="41"/>
        <v>0.14595088449526419</v>
      </c>
      <c r="BX27" s="2">
        <f t="shared" si="42"/>
        <v>1.9920318725099601E-2</v>
      </c>
      <c r="BY27" s="2">
        <f t="shared" si="43"/>
        <v>0.91803278688524592</v>
      </c>
      <c r="BZ27" s="60">
        <f t="shared" ca="1" si="44"/>
        <v>0.78251737144027811</v>
      </c>
      <c r="CA27" s="60">
        <f t="shared" ca="1" si="45"/>
        <v>0.21748262855972189</v>
      </c>
      <c r="CB27" s="52">
        <v>0</v>
      </c>
      <c r="CC27" s="2"/>
      <c r="CD27" s="7"/>
      <c r="CE27" s="7"/>
      <c r="CF27" s="7"/>
      <c r="CG27" s="7">
        <f t="shared" si="46"/>
        <v>220</v>
      </c>
      <c r="CH27" s="9">
        <f t="shared" si="133"/>
        <v>3286.7446393762184</v>
      </c>
      <c r="CI27" s="7">
        <f t="shared" si="71"/>
        <v>112</v>
      </c>
      <c r="CJ27" s="9">
        <f t="shared" si="47"/>
        <v>613.25536062378171</v>
      </c>
      <c r="CK27" s="7">
        <f t="shared" ca="1" si="48"/>
        <v>2769.1505480326109</v>
      </c>
      <c r="CL27" s="7">
        <f t="shared" ca="1" si="49"/>
        <v>769.62143211627074</v>
      </c>
      <c r="CM27" s="7">
        <f t="shared" ca="1" si="50"/>
        <v>473.22801985111829</v>
      </c>
      <c r="CN27" s="7">
        <f t="shared" ca="1" si="51"/>
        <v>3276.4340001064256</v>
      </c>
      <c r="CO27" s="7">
        <f t="shared" ca="1" si="52"/>
        <v>125.10002852821256</v>
      </c>
      <c r="CP27" s="7">
        <f t="shared" ca="1" si="53"/>
        <v>610.46597136536218</v>
      </c>
      <c r="CQ27" s="7">
        <f t="array" aca="1" ref="CQ27" ca="1">(SUM(IF($AV$5:$BA$5=CQ$5,$AV27:$BA27))*BU27+SUM(IF($AV$5:$BA$5="B",$AV27:$BA27))*BR27)*$Q27</f>
        <v>3321.3105073834963</v>
      </c>
      <c r="CR27" s="7">
        <f t="array" aca="1" ref="CR27" ca="1">(SUM(IF($AV$5:$BA$5=CR$5,$AV27:$BA27))*BV27+SUM(IF($AV$5:$BA$5="B",$AV27:$BA27))*BS27)*$Q27</f>
        <v>123.10128552661759</v>
      </c>
      <c r="CS27" s="7">
        <f t="array" aca="1" ref="CS27" ca="1">(SUM(IF($AV$5:$BA$5=CS$5,$AV27:$BA27))*BW27+SUM(IF($AV$5:$BA$5="B",$AV27:$BA27))*BT27)*$Q27</f>
        <v>567.58820708988605</v>
      </c>
      <c r="CT27" s="7">
        <f t="array" aca="1" ref="CT27" ca="1">(SUM(IF($BF$5:$BL$5=CT$5,IF($BF$4:$BL$4="B",$BF27:$BL27)))*BU27+SUM(IF($BF$5:$BL$5=CT$5,IF($BF$4:$BL$4=CT$4,$BF27:$BL27)))+SUM(IF($BF$5:$BL$5="B",$BF27:$BL27))*BZ27)*$Q27</f>
        <v>0</v>
      </c>
      <c r="CU27" s="7">
        <f t="array" aca="1" ref="CU27" ca="1">(SUM(IF($BF$5:$BL$5=CU$5,IF($BF$4:$BL$4="B",$BF27:$BL27)))*BV27+SUM(IF($BF$5:$BL$5=CU$5,IF($BF$4:$BL$4=CU$4,$BF27:$BL27)))+SUM(IF($BF$5:$BL$5="B",$BF27:$BL27))*CA27)*$Q27</f>
        <v>0</v>
      </c>
      <c r="CV27" s="7">
        <f t="array" aca="1" ref="CV27" ca="1">(SUM(IF($BF$5:$BL$5=CV$5,IF($BF$4:$BL$4="B",$BF27:$BL27)))*BW27+SUM(IF($BF$5:$BL$5=CV$5,IF($BF$4:$BL$4=CV$4,$BF27:$BL27)))+SUM(IF($BF$5:$BL$5="B",$BF27:$BL27))*CB27)*$Q27</f>
        <v>0</v>
      </c>
      <c r="CW27" s="7"/>
      <c r="CX27" s="9">
        <f t="shared" si="72"/>
        <v>3900</v>
      </c>
      <c r="CY27" s="9">
        <f t="shared" si="134"/>
        <v>-3286.7446393762184</v>
      </c>
      <c r="CZ27" s="9">
        <f t="shared" si="135"/>
        <v>613.2553606237816</v>
      </c>
      <c r="DA27" s="9">
        <f t="shared" si="75"/>
        <v>112</v>
      </c>
      <c r="DB27" s="9">
        <f t="shared" si="136"/>
        <v>-725.25536062378171</v>
      </c>
      <c r="DC27" s="9">
        <f t="shared" si="137"/>
        <v>-613.25536062378171</v>
      </c>
      <c r="DD27" s="9">
        <f t="shared" si="78"/>
        <v>3900</v>
      </c>
      <c r="DE27" s="9">
        <f t="shared" ca="1" si="54"/>
        <v>-2769.1505480326109</v>
      </c>
      <c r="DF27" s="9">
        <f t="shared" ca="1" si="138"/>
        <v>1130.8494519673891</v>
      </c>
      <c r="DG27" s="9">
        <f t="shared" si="80"/>
        <v>112</v>
      </c>
      <c r="DH27" s="9">
        <f t="shared" ca="1" si="139"/>
        <v>-1242.8494519673891</v>
      </c>
      <c r="DI27" s="9">
        <f t="shared" ca="1" si="140"/>
        <v>-1130.8494519673891</v>
      </c>
      <c r="DJ27" s="9">
        <f t="shared" si="83"/>
        <v>3900</v>
      </c>
      <c r="DK27" s="9">
        <f t="shared" ca="1" si="55"/>
        <v>-3276.4340001064256</v>
      </c>
      <c r="DL27" s="9">
        <f t="shared" ca="1" si="141"/>
        <v>623.56599989357437</v>
      </c>
      <c r="DM27" s="9">
        <f t="shared" si="85"/>
        <v>112</v>
      </c>
      <c r="DN27" s="9">
        <f t="shared" ca="1" si="56"/>
        <v>-735.56599989357471</v>
      </c>
      <c r="DO27" s="9">
        <f t="shared" ca="1" si="142"/>
        <v>-623.56599989357471</v>
      </c>
      <c r="DP27" s="9">
        <f t="shared" si="87"/>
        <v>3900</v>
      </c>
      <c r="DQ27" s="9">
        <f t="shared" ca="1" si="57"/>
        <v>-3321.3105073834963</v>
      </c>
      <c r="DR27" s="9">
        <f t="shared" ca="1" si="143"/>
        <v>578.68949261650368</v>
      </c>
      <c r="DS27" s="9">
        <f t="shared" si="89"/>
        <v>112</v>
      </c>
      <c r="DT27" s="9">
        <f t="shared" ca="1" si="58"/>
        <v>-690.68949261650368</v>
      </c>
      <c r="DU27" s="9">
        <f t="shared" ca="1" si="144"/>
        <v>-578.68949261650368</v>
      </c>
    </row>
    <row r="28" spans="1:125" ht="14.45" x14ac:dyDescent="0.35">
      <c r="A28" s="16">
        <f t="shared" si="125"/>
        <v>1000</v>
      </c>
      <c r="B28" s="14">
        <f t="shared" si="126"/>
        <v>10</v>
      </c>
      <c r="C28" s="9">
        <f t="shared" si="16"/>
        <v>10</v>
      </c>
      <c r="D28" s="14">
        <f t="shared" si="17"/>
        <v>502</v>
      </c>
      <c r="E28" s="34">
        <f t="shared" si="92"/>
        <v>0</v>
      </c>
      <c r="F28" s="15">
        <f t="shared" si="18"/>
        <v>-10</v>
      </c>
      <c r="G28">
        <f t="shared" si="91"/>
        <v>10</v>
      </c>
      <c r="H28">
        <f t="shared" si="91"/>
        <v>1</v>
      </c>
      <c r="I28" s="5">
        <f>GenUnits!$V$12</f>
        <v>400</v>
      </c>
      <c r="J28" s="5">
        <f>GenUnits!$W$12</f>
        <v>122</v>
      </c>
      <c r="K28" s="14">
        <f t="shared" si="60"/>
        <v>502</v>
      </c>
      <c r="L28" s="14">
        <f t="shared" si="127"/>
        <v>502</v>
      </c>
      <c r="M28" s="14">
        <f t="shared" si="128"/>
        <v>122</v>
      </c>
      <c r="N28" s="34">
        <f>GenUnits!$V$11</f>
        <v>1297</v>
      </c>
      <c r="O28" s="34">
        <f>GenUnits!$W$11</f>
        <v>864</v>
      </c>
      <c r="P28" s="14">
        <f t="shared" si="19"/>
        <v>442</v>
      </c>
      <c r="Q28" s="14">
        <f t="shared" si="20"/>
        <v>1</v>
      </c>
      <c r="S28" s="7">
        <f t="shared" si="63"/>
        <v>502</v>
      </c>
      <c r="T28" s="7">
        <f t="shared" si="21"/>
        <v>112</v>
      </c>
      <c r="U28" s="7">
        <f t="shared" si="129"/>
        <v>614</v>
      </c>
      <c r="V28" s="7">
        <f t="shared" si="22"/>
        <v>5020</v>
      </c>
      <c r="W28" s="7">
        <f t="shared" si="23"/>
        <v>112</v>
      </c>
      <c r="X28" s="7">
        <f t="shared" si="130"/>
        <v>5132</v>
      </c>
      <c r="Y28" s="45"/>
      <c r="Z28" s="46" t="str">
        <f>$D28&amp;" MW"</f>
        <v>502 MW</v>
      </c>
      <c r="AA28" s="44">
        <f t="shared" si="66"/>
        <v>0</v>
      </c>
      <c r="AB28" s="7">
        <f t="shared" si="24"/>
        <v>492</v>
      </c>
      <c r="AC28" s="15">
        <f t="shared" si="25"/>
        <v>10</v>
      </c>
      <c r="AD28" s="8">
        <v>0</v>
      </c>
      <c r="AE28" s="15">
        <f t="shared" si="26"/>
        <v>0</v>
      </c>
      <c r="AF28" s="7">
        <f t="shared" si="67"/>
        <v>0</v>
      </c>
      <c r="AG28" s="7">
        <f t="shared" si="27"/>
        <v>112</v>
      </c>
      <c r="AH28" s="7">
        <f t="shared" si="131"/>
        <v>614</v>
      </c>
      <c r="AI28" s="7" t="b">
        <f t="shared" si="28"/>
        <v>1</v>
      </c>
      <c r="AJ28" s="7"/>
      <c r="AK28" s="7"/>
      <c r="AL28" s="7"/>
      <c r="AM28" s="7"/>
      <c r="AN28" s="7"/>
      <c r="AO28" s="7"/>
      <c r="AP28" s="7"/>
      <c r="AQ28" s="7"/>
      <c r="AR28" s="7"/>
      <c r="AS28" s="7"/>
      <c r="AT28" s="7"/>
      <c r="AU28" s="7"/>
      <c r="AV28" s="7">
        <f t="shared" si="29"/>
        <v>4920</v>
      </c>
      <c r="AW28" s="7">
        <f t="shared" si="30"/>
        <v>100</v>
      </c>
      <c r="AX28" s="7">
        <f t="shared" si="31"/>
        <v>0</v>
      </c>
      <c r="AY28" s="30">
        <f t="shared" si="32"/>
        <v>0</v>
      </c>
      <c r="AZ28" s="30">
        <f t="shared" si="33"/>
        <v>0</v>
      </c>
      <c r="BA28" s="30">
        <f t="shared" si="34"/>
        <v>112</v>
      </c>
      <c r="BB28" s="7">
        <f t="shared" si="132"/>
        <v>5132</v>
      </c>
      <c r="BC28" s="7" t="b">
        <f t="shared" si="35"/>
        <v>1</v>
      </c>
      <c r="BD28" s="7"/>
      <c r="BE28" s="7"/>
      <c r="BF28" s="7"/>
      <c r="BG28" s="7"/>
      <c r="BH28" s="7"/>
      <c r="BI28" s="7"/>
      <c r="BJ28" s="7"/>
      <c r="BK28" s="7"/>
      <c r="BL28" s="7"/>
      <c r="BM28" s="7"/>
      <c r="BN28" s="7"/>
      <c r="BO28" s="7"/>
      <c r="BP28" s="7">
        <f>MATCH($A28,GenUnits!$AX$43:$AX$48,1)</f>
        <v>6</v>
      </c>
      <c r="BQ28" s="7"/>
      <c r="BR28" s="2">
        <f t="shared" ca="1" si="36"/>
        <v>0.47992057321381393</v>
      </c>
      <c r="BS28" s="2">
        <f t="shared" ca="1" si="37"/>
        <v>0.15285248479983765</v>
      </c>
      <c r="BT28" s="2">
        <f t="shared" ca="1" si="38"/>
        <v>0.36722694198634848</v>
      </c>
      <c r="BU28" s="59">
        <f t="shared" ca="1" si="39"/>
        <v>0.56651358187649192</v>
      </c>
      <c r="BV28" s="59">
        <f t="shared" ca="1" si="40"/>
        <v>1</v>
      </c>
      <c r="BW28" s="59">
        <f t="shared" ca="1" si="41"/>
        <v>0.43348641812350802</v>
      </c>
      <c r="BX28" s="2">
        <f t="shared" si="42"/>
        <v>1.6286644951140065E-2</v>
      </c>
      <c r="BY28" s="2">
        <f t="shared" si="43"/>
        <v>1</v>
      </c>
      <c r="BZ28" s="60">
        <f t="shared" ca="1" si="44"/>
        <v>0.75844027670890501</v>
      </c>
      <c r="CA28" s="60">
        <f t="shared" ca="1" si="45"/>
        <v>0.24155972329109496</v>
      </c>
      <c r="CB28" s="52">
        <v>0</v>
      </c>
      <c r="CC28" s="2"/>
      <c r="CD28" s="7"/>
      <c r="CE28" s="7"/>
      <c r="CF28" s="7"/>
      <c r="CG28" s="7">
        <f t="shared" si="46"/>
        <v>0</v>
      </c>
      <c r="CH28" s="9">
        <f t="shared" si="133"/>
        <v>3744.0713053479012</v>
      </c>
      <c r="CI28" s="7">
        <f t="shared" si="71"/>
        <v>112</v>
      </c>
      <c r="CJ28" s="9">
        <f t="shared" si="47"/>
        <v>1275.928694652099</v>
      </c>
      <c r="CK28" s="7">
        <f t="shared" ca="1" si="48"/>
        <v>2462.9523817332929</v>
      </c>
      <c r="CL28" s="7">
        <f t="shared" ca="1" si="49"/>
        <v>784.43895199276687</v>
      </c>
      <c r="CM28" s="7">
        <f t="shared" ca="1" si="50"/>
        <v>1884.6086662739403</v>
      </c>
      <c r="CN28" s="7">
        <f t="shared" ca="1" si="51"/>
        <v>3723.2061762988033</v>
      </c>
      <c r="CO28" s="7">
        <f t="shared" ca="1" si="52"/>
        <v>122.95177446242292</v>
      </c>
      <c r="CP28" s="7">
        <f t="shared" ca="1" si="53"/>
        <v>1285.8420492387741</v>
      </c>
      <c r="CQ28" s="7">
        <f t="array" aca="1" ref="CQ28" ca="1">(SUM(IF($AV$5:$BA$5=CQ$5,$AV28:$BA28))*BU28+SUM(IF($AV$5:$BA$5="B",$AV28:$BA28))*BR28)*$Q28</f>
        <v>2835.2388801537213</v>
      </c>
      <c r="CR28" s="7">
        <f t="array" aca="1" ref="CR28" ca="1">(SUM(IF($AV$5:$BA$5=CR$5,$AV28:$BA28))*BV28+SUM(IF($AV$5:$BA$5="B",$AV28:$BA28))*BS28)*$Q28</f>
        <v>127.28524847998376</v>
      </c>
      <c r="CS28" s="7">
        <f t="array" aca="1" ref="CS28" ca="1">(SUM(IF($AV$5:$BA$5=CS$5,$AV28:$BA28))*BW28+SUM(IF($AV$5:$BA$5="B",$AV28:$BA28))*BT28)*$Q28</f>
        <v>2169.4758713662945</v>
      </c>
      <c r="CT28" s="7">
        <f t="array" aca="1" ref="CT28" ca="1">(SUM(IF($BF$5:$BL$5=CT$5,IF($BF$4:$BL$4="B",$BF28:$BL28)))*BU28+SUM(IF($BF$5:$BL$5=CT$5,IF($BF$4:$BL$4=CT$4,$BF28:$BL28)))+SUM(IF($BF$5:$BL$5="B",$BF28:$BL28))*BZ28)*$Q28</f>
        <v>0</v>
      </c>
      <c r="CU28" s="7">
        <f t="array" aca="1" ref="CU28" ca="1">(SUM(IF($BF$5:$BL$5=CU$5,IF($BF$4:$BL$4="B",$BF28:$BL28)))*BV28+SUM(IF($BF$5:$BL$5=CU$5,IF($BF$4:$BL$4=CU$4,$BF28:$BL28)))+SUM(IF($BF$5:$BL$5="B",$BF28:$BL28))*CA28)*$Q28</f>
        <v>0</v>
      </c>
      <c r="CV28" s="7">
        <f t="array" aca="1" ref="CV28" ca="1">(SUM(IF($BF$5:$BL$5=CV$5,IF($BF$4:$BL$4="B",$BF28:$BL28)))*BW28+SUM(IF($BF$5:$BL$5=CV$5,IF($BF$4:$BL$4=CV$4,$BF28:$BL28)))+SUM(IF($BF$5:$BL$5="B",$BF28:$BL28))*CB28)*$Q28</f>
        <v>0</v>
      </c>
      <c r="CW28" s="7"/>
      <c r="CX28" s="9">
        <f t="shared" si="72"/>
        <v>5020</v>
      </c>
      <c r="CY28" s="9">
        <f t="shared" si="134"/>
        <v>-3744.0713053479012</v>
      </c>
      <c r="CZ28" s="9">
        <f t="shared" si="135"/>
        <v>1275.9286946520988</v>
      </c>
      <c r="DA28" s="9">
        <f t="shared" si="75"/>
        <v>112</v>
      </c>
      <c r="DB28" s="9">
        <f t="shared" si="136"/>
        <v>-1387.928694652099</v>
      </c>
      <c r="DC28" s="9">
        <f t="shared" si="137"/>
        <v>-1275.928694652099</v>
      </c>
      <c r="DD28" s="9">
        <f t="shared" si="78"/>
        <v>5020</v>
      </c>
      <c r="DE28" s="9">
        <f t="shared" ca="1" si="54"/>
        <v>-2462.9523817332929</v>
      </c>
      <c r="DF28" s="9">
        <f t="shared" ca="1" si="138"/>
        <v>2557.0476182667071</v>
      </c>
      <c r="DG28" s="9">
        <f t="shared" si="80"/>
        <v>112</v>
      </c>
      <c r="DH28" s="9">
        <f t="shared" ca="1" si="139"/>
        <v>-2669.0476182667071</v>
      </c>
      <c r="DI28" s="9">
        <f t="shared" ca="1" si="140"/>
        <v>-2557.0476182667071</v>
      </c>
      <c r="DJ28" s="9">
        <f t="shared" si="83"/>
        <v>5020</v>
      </c>
      <c r="DK28" s="9">
        <f t="shared" ca="1" si="55"/>
        <v>-3723.2061762988033</v>
      </c>
      <c r="DL28" s="9">
        <f t="shared" ca="1" si="141"/>
        <v>1296.7938237011967</v>
      </c>
      <c r="DM28" s="9">
        <f t="shared" si="85"/>
        <v>112</v>
      </c>
      <c r="DN28" s="9">
        <f t="shared" ca="1" si="56"/>
        <v>-1408.793823701197</v>
      </c>
      <c r="DO28" s="9">
        <f t="shared" ca="1" si="142"/>
        <v>-1296.793823701197</v>
      </c>
      <c r="DP28" s="9">
        <f t="shared" si="87"/>
        <v>5020</v>
      </c>
      <c r="DQ28" s="9">
        <f t="shared" ca="1" si="57"/>
        <v>-2835.2388801537213</v>
      </c>
      <c r="DR28" s="9">
        <f t="shared" ca="1" si="143"/>
        <v>2184.7611198462787</v>
      </c>
      <c r="DS28" s="9">
        <f t="shared" si="89"/>
        <v>112</v>
      </c>
      <c r="DT28" s="9">
        <f t="shared" ca="1" si="58"/>
        <v>-2296.7611198462782</v>
      </c>
      <c r="DU28" s="9">
        <f t="shared" ca="1" si="144"/>
        <v>-2184.7611198462782</v>
      </c>
    </row>
    <row r="29" spans="1:125" ht="14.45" x14ac:dyDescent="0.35">
      <c r="A29" s="16">
        <f t="shared" si="125"/>
        <v>1000</v>
      </c>
      <c r="B29" s="14">
        <f t="shared" si="126"/>
        <v>10</v>
      </c>
      <c r="C29" s="9">
        <f t="shared" si="16"/>
        <v>10</v>
      </c>
      <c r="D29" s="14">
        <f t="shared" si="17"/>
        <v>502</v>
      </c>
      <c r="E29" s="34">
        <f t="shared" si="92"/>
        <v>10</v>
      </c>
      <c r="F29" s="15">
        <f t="shared" si="18"/>
        <v>-10</v>
      </c>
      <c r="G29">
        <f t="shared" si="91"/>
        <v>10</v>
      </c>
      <c r="H29">
        <f t="shared" si="91"/>
        <v>1</v>
      </c>
      <c r="I29" s="5">
        <f>GenUnits!$V$12</f>
        <v>400</v>
      </c>
      <c r="J29" s="5">
        <f>GenUnits!$W$12</f>
        <v>122</v>
      </c>
      <c r="K29" s="14">
        <f t="shared" si="60"/>
        <v>502</v>
      </c>
      <c r="L29" s="14">
        <f t="shared" si="127"/>
        <v>502</v>
      </c>
      <c r="M29" s="14">
        <f t="shared" si="128"/>
        <v>122</v>
      </c>
      <c r="N29" s="34">
        <f>GenUnits!$V$11</f>
        <v>1297</v>
      </c>
      <c r="O29" s="34">
        <f>GenUnits!$W$11</f>
        <v>864</v>
      </c>
      <c r="P29" s="14">
        <f t="shared" si="19"/>
        <v>442</v>
      </c>
      <c r="Q29" s="14">
        <f t="shared" si="20"/>
        <v>1</v>
      </c>
      <c r="S29" s="7">
        <f t="shared" si="63"/>
        <v>502</v>
      </c>
      <c r="T29" s="7">
        <f t="shared" si="21"/>
        <v>112</v>
      </c>
      <c r="U29" s="7">
        <f t="shared" si="129"/>
        <v>614</v>
      </c>
      <c r="V29" s="7">
        <f t="shared" si="22"/>
        <v>5020</v>
      </c>
      <c r="W29" s="7">
        <f t="shared" si="23"/>
        <v>112</v>
      </c>
      <c r="X29" s="7">
        <f t="shared" si="130"/>
        <v>5132</v>
      </c>
      <c r="Y29" s="45"/>
      <c r="Z29" s="35"/>
      <c r="AA29" s="44">
        <f t="shared" si="66"/>
        <v>10</v>
      </c>
      <c r="AB29" s="7">
        <f t="shared" si="24"/>
        <v>492</v>
      </c>
      <c r="AC29" s="15">
        <f t="shared" si="25"/>
        <v>10</v>
      </c>
      <c r="AD29" s="8">
        <v>0</v>
      </c>
      <c r="AE29" s="15">
        <f t="shared" si="26"/>
        <v>0</v>
      </c>
      <c r="AF29" s="7">
        <f t="shared" si="67"/>
        <v>0</v>
      </c>
      <c r="AG29" s="7">
        <f t="shared" si="27"/>
        <v>112</v>
      </c>
      <c r="AH29" s="7">
        <f t="shared" si="131"/>
        <v>614</v>
      </c>
      <c r="AI29" s="7" t="b">
        <f t="shared" si="28"/>
        <v>1</v>
      </c>
      <c r="AJ29" s="7"/>
      <c r="AK29" s="7"/>
      <c r="AL29" s="7"/>
      <c r="AM29" s="7"/>
      <c r="AN29" s="7"/>
      <c r="AO29" s="7"/>
      <c r="AP29" s="7"/>
      <c r="AQ29" s="7"/>
      <c r="AR29" s="7"/>
      <c r="AS29" s="7"/>
      <c r="AT29" s="7"/>
      <c r="AU29" s="7"/>
      <c r="AV29" s="7">
        <f t="shared" si="29"/>
        <v>4920</v>
      </c>
      <c r="AW29" s="7">
        <f t="shared" si="30"/>
        <v>100</v>
      </c>
      <c r="AX29" s="7">
        <f t="shared" si="31"/>
        <v>0</v>
      </c>
      <c r="AY29" s="30">
        <f t="shared" si="32"/>
        <v>0</v>
      </c>
      <c r="AZ29" s="30">
        <f t="shared" si="33"/>
        <v>0</v>
      </c>
      <c r="BA29" s="30">
        <f t="shared" si="34"/>
        <v>112</v>
      </c>
      <c r="BB29" s="7">
        <f t="shared" si="132"/>
        <v>5132</v>
      </c>
      <c r="BC29" s="7" t="b">
        <f t="shared" si="35"/>
        <v>1</v>
      </c>
      <c r="BD29" s="7"/>
      <c r="BE29" s="7"/>
      <c r="BF29" s="7"/>
      <c r="BG29" s="7"/>
      <c r="BH29" s="7"/>
      <c r="BI29" s="7"/>
      <c r="BJ29" s="7"/>
      <c r="BK29" s="7"/>
      <c r="BL29" s="7"/>
      <c r="BM29" s="7"/>
      <c r="BN29" s="7"/>
      <c r="BO29" s="7"/>
      <c r="BP29" s="7">
        <f>MATCH($A29,GenUnits!$AX$43:$AX$48,1)</f>
        <v>6</v>
      </c>
      <c r="BQ29" s="7"/>
      <c r="BR29" s="2">
        <f t="shared" ca="1" si="36"/>
        <v>0.47992057321381393</v>
      </c>
      <c r="BS29" s="2">
        <f t="shared" ca="1" si="37"/>
        <v>0.15285248479983765</v>
      </c>
      <c r="BT29" s="2">
        <f t="shared" ca="1" si="38"/>
        <v>0.36722694198634848</v>
      </c>
      <c r="BU29" s="59">
        <f t="shared" ca="1" si="39"/>
        <v>0.56651358187649192</v>
      </c>
      <c r="BV29" s="59">
        <f t="shared" ca="1" si="40"/>
        <v>1</v>
      </c>
      <c r="BW29" s="59">
        <f t="shared" ca="1" si="41"/>
        <v>0.43348641812350802</v>
      </c>
      <c r="BX29" s="2">
        <f t="shared" si="42"/>
        <v>1.6286644951140065E-2</v>
      </c>
      <c r="BY29" s="2">
        <f t="shared" si="43"/>
        <v>1</v>
      </c>
      <c r="BZ29" s="60">
        <f t="shared" ca="1" si="44"/>
        <v>0.75844027670890501</v>
      </c>
      <c r="CA29" s="60">
        <f t="shared" ca="1" si="45"/>
        <v>0.24155972329109496</v>
      </c>
      <c r="CB29" s="52">
        <v>0</v>
      </c>
      <c r="CC29" s="2"/>
      <c r="CD29" s="7"/>
      <c r="CE29" s="7"/>
      <c r="CF29" s="7"/>
      <c r="CG29" s="7">
        <f t="shared" si="46"/>
        <v>10</v>
      </c>
      <c r="CH29" s="9">
        <f t="shared" si="133"/>
        <v>3744.0713053479012</v>
      </c>
      <c r="CI29" s="7">
        <f t="shared" si="71"/>
        <v>112</v>
      </c>
      <c r="CJ29" s="9">
        <f t="shared" si="47"/>
        <v>1275.928694652099</v>
      </c>
      <c r="CK29" s="7">
        <f t="shared" ca="1" si="48"/>
        <v>2462.9523817332929</v>
      </c>
      <c r="CL29" s="7">
        <f t="shared" ca="1" si="49"/>
        <v>784.43895199276687</v>
      </c>
      <c r="CM29" s="7">
        <f t="shared" ca="1" si="50"/>
        <v>1884.6086662739403</v>
      </c>
      <c r="CN29" s="7">
        <f t="shared" ca="1" si="51"/>
        <v>3723.2061762988033</v>
      </c>
      <c r="CO29" s="7">
        <f t="shared" ca="1" si="52"/>
        <v>122.95177446242292</v>
      </c>
      <c r="CP29" s="7">
        <f t="shared" ca="1" si="53"/>
        <v>1285.8420492387741</v>
      </c>
      <c r="CQ29" s="7">
        <f t="array" aca="1" ref="CQ29" ca="1">(SUM(IF($AV$5:$BA$5=CQ$5,$AV29:$BA29))*BU29+SUM(IF($AV$5:$BA$5="B",$AV29:$BA29))*BR29)*$Q29</f>
        <v>2835.2388801537213</v>
      </c>
      <c r="CR29" s="7">
        <f t="array" aca="1" ref="CR29" ca="1">(SUM(IF($AV$5:$BA$5=CR$5,$AV29:$BA29))*BV29+SUM(IF($AV$5:$BA$5="B",$AV29:$BA29))*BS29)*$Q29</f>
        <v>127.28524847998376</v>
      </c>
      <c r="CS29" s="7">
        <f t="array" aca="1" ref="CS29" ca="1">(SUM(IF($AV$5:$BA$5=CS$5,$AV29:$BA29))*BW29+SUM(IF($AV$5:$BA$5="B",$AV29:$BA29))*BT29)*$Q29</f>
        <v>2169.4758713662945</v>
      </c>
      <c r="CT29" s="7">
        <f t="array" aca="1" ref="CT29" ca="1">(SUM(IF($BF$5:$BL$5=CT$5,IF($BF$4:$BL$4="B",$BF29:$BL29)))*BU29+SUM(IF($BF$5:$BL$5=CT$5,IF($BF$4:$BL$4=CT$4,$BF29:$BL29)))+SUM(IF($BF$5:$BL$5="B",$BF29:$BL29))*BZ29)*$Q29</f>
        <v>0</v>
      </c>
      <c r="CU29" s="7">
        <f t="array" aca="1" ref="CU29" ca="1">(SUM(IF($BF$5:$BL$5=CU$5,IF($BF$4:$BL$4="B",$BF29:$BL29)))*BV29+SUM(IF($BF$5:$BL$5=CU$5,IF($BF$4:$BL$4=CU$4,$BF29:$BL29)))+SUM(IF($BF$5:$BL$5="B",$BF29:$BL29))*CA29)*$Q29</f>
        <v>0</v>
      </c>
      <c r="CV29" s="7">
        <f t="array" aca="1" ref="CV29" ca="1">(SUM(IF($BF$5:$BL$5=CV$5,IF($BF$4:$BL$4="B",$BF29:$BL29)))*BW29+SUM(IF($BF$5:$BL$5=CV$5,IF($BF$4:$BL$4=CV$4,$BF29:$BL29)))+SUM(IF($BF$5:$BL$5="B",$BF29:$BL29))*CB29)*$Q29</f>
        <v>0</v>
      </c>
      <c r="CW29" s="7"/>
      <c r="CX29" s="9">
        <f t="shared" si="72"/>
        <v>5020</v>
      </c>
      <c r="CY29" s="9">
        <f t="shared" si="134"/>
        <v>-3744.0713053479012</v>
      </c>
      <c r="CZ29" s="9">
        <f t="shared" si="135"/>
        <v>1275.9286946520988</v>
      </c>
      <c r="DA29" s="9">
        <f t="shared" si="75"/>
        <v>112</v>
      </c>
      <c r="DB29" s="9">
        <f t="shared" si="136"/>
        <v>-1387.928694652099</v>
      </c>
      <c r="DC29" s="9">
        <f t="shared" si="137"/>
        <v>-1275.928694652099</v>
      </c>
      <c r="DD29" s="9">
        <f t="shared" si="78"/>
        <v>5020</v>
      </c>
      <c r="DE29" s="9">
        <f t="shared" ca="1" si="54"/>
        <v>-2462.9523817332929</v>
      </c>
      <c r="DF29" s="9">
        <f t="shared" ca="1" si="138"/>
        <v>2557.0476182667071</v>
      </c>
      <c r="DG29" s="9">
        <f t="shared" si="80"/>
        <v>112</v>
      </c>
      <c r="DH29" s="9">
        <f t="shared" ca="1" si="139"/>
        <v>-2669.0476182667071</v>
      </c>
      <c r="DI29" s="9">
        <f t="shared" ca="1" si="140"/>
        <v>-2557.0476182667071</v>
      </c>
      <c r="DJ29" s="9">
        <f t="shared" si="83"/>
        <v>5020</v>
      </c>
      <c r="DK29" s="9">
        <f t="shared" ca="1" si="55"/>
        <v>-3723.2061762988033</v>
      </c>
      <c r="DL29" s="9">
        <f t="shared" ca="1" si="141"/>
        <v>1296.7938237011967</v>
      </c>
      <c r="DM29" s="9">
        <f t="shared" si="85"/>
        <v>112</v>
      </c>
      <c r="DN29" s="9">
        <f t="shared" ca="1" si="56"/>
        <v>-1408.793823701197</v>
      </c>
      <c r="DO29" s="9">
        <f t="shared" ca="1" si="142"/>
        <v>-1296.793823701197</v>
      </c>
      <c r="DP29" s="9">
        <f t="shared" si="87"/>
        <v>5020</v>
      </c>
      <c r="DQ29" s="9">
        <f t="shared" ca="1" si="57"/>
        <v>-2835.2388801537213</v>
      </c>
      <c r="DR29" s="9">
        <f t="shared" ca="1" si="143"/>
        <v>2184.7611198462787</v>
      </c>
      <c r="DS29" s="9">
        <f t="shared" si="89"/>
        <v>112</v>
      </c>
      <c r="DT29" s="9">
        <f t="shared" ca="1" si="58"/>
        <v>-2296.7611198462782</v>
      </c>
      <c r="DU29" s="9">
        <f t="shared" ca="1" si="144"/>
        <v>-2184.7611198462782</v>
      </c>
    </row>
    <row r="30" spans="1:125" ht="14.45" x14ac:dyDescent="0.35">
      <c r="A30" s="16">
        <f t="shared" si="125"/>
        <v>1000</v>
      </c>
      <c r="B30" s="14">
        <f t="shared" si="126"/>
        <v>10</v>
      </c>
      <c r="C30" s="9">
        <f t="shared" si="16"/>
        <v>10</v>
      </c>
      <c r="D30" s="14">
        <f t="shared" si="17"/>
        <v>502</v>
      </c>
      <c r="E30" s="34">
        <f t="shared" si="92"/>
        <v>100</v>
      </c>
      <c r="F30" s="15">
        <f t="shared" si="18"/>
        <v>-10</v>
      </c>
      <c r="G30">
        <f t="shared" si="91"/>
        <v>10</v>
      </c>
      <c r="H30">
        <f t="shared" si="91"/>
        <v>1</v>
      </c>
      <c r="I30" s="5">
        <f>GenUnits!$V$12</f>
        <v>400</v>
      </c>
      <c r="J30" s="5">
        <f>GenUnits!$W$12</f>
        <v>122</v>
      </c>
      <c r="K30" s="14">
        <f t="shared" si="60"/>
        <v>502</v>
      </c>
      <c r="L30" s="14">
        <f t="shared" si="127"/>
        <v>502</v>
      </c>
      <c r="M30" s="14">
        <f t="shared" si="128"/>
        <v>122</v>
      </c>
      <c r="N30" s="34">
        <f>GenUnits!$V$11</f>
        <v>1297</v>
      </c>
      <c r="O30" s="34">
        <f>GenUnits!$W$11</f>
        <v>864</v>
      </c>
      <c r="P30" s="14">
        <f t="shared" si="19"/>
        <v>442</v>
      </c>
      <c r="Q30" s="14">
        <f t="shared" si="20"/>
        <v>1</v>
      </c>
      <c r="S30" s="7">
        <f t="shared" si="63"/>
        <v>502</v>
      </c>
      <c r="T30" s="7">
        <f t="shared" si="21"/>
        <v>112</v>
      </c>
      <c r="U30" s="7">
        <f t="shared" si="129"/>
        <v>614</v>
      </c>
      <c r="V30" s="7">
        <f t="shared" si="22"/>
        <v>5020</v>
      </c>
      <c r="W30" s="7">
        <f t="shared" si="23"/>
        <v>112</v>
      </c>
      <c r="X30" s="7">
        <f t="shared" si="130"/>
        <v>5132</v>
      </c>
      <c r="Y30" s="45"/>
      <c r="Z30" s="35"/>
      <c r="AA30" s="44">
        <f t="shared" si="66"/>
        <v>100</v>
      </c>
      <c r="AB30" s="7">
        <f t="shared" si="24"/>
        <v>492</v>
      </c>
      <c r="AC30" s="15">
        <f t="shared" si="25"/>
        <v>10</v>
      </c>
      <c r="AD30" s="8">
        <v>0</v>
      </c>
      <c r="AE30" s="15">
        <f t="shared" si="26"/>
        <v>0</v>
      </c>
      <c r="AF30" s="7">
        <f t="shared" si="67"/>
        <v>0</v>
      </c>
      <c r="AG30" s="7">
        <f t="shared" si="27"/>
        <v>112</v>
      </c>
      <c r="AH30" s="7">
        <f t="shared" si="131"/>
        <v>614</v>
      </c>
      <c r="AI30" s="7" t="b">
        <f t="shared" si="28"/>
        <v>1</v>
      </c>
      <c r="AJ30" s="7"/>
      <c r="AK30" s="7"/>
      <c r="AL30" s="7"/>
      <c r="AM30" s="7"/>
      <c r="AN30" s="7"/>
      <c r="AO30" s="7"/>
      <c r="AP30" s="7"/>
      <c r="AQ30" s="7"/>
      <c r="AR30" s="7"/>
      <c r="AS30" s="7"/>
      <c r="AT30" s="7"/>
      <c r="AU30" s="7"/>
      <c r="AV30" s="7">
        <f t="shared" si="29"/>
        <v>4920</v>
      </c>
      <c r="AW30" s="7">
        <f t="shared" si="30"/>
        <v>100</v>
      </c>
      <c r="AX30" s="7">
        <f t="shared" si="31"/>
        <v>0</v>
      </c>
      <c r="AY30" s="30">
        <f t="shared" si="32"/>
        <v>0</v>
      </c>
      <c r="AZ30" s="30">
        <f t="shared" si="33"/>
        <v>0</v>
      </c>
      <c r="BA30" s="30">
        <f t="shared" si="34"/>
        <v>112</v>
      </c>
      <c r="BB30" s="7">
        <f t="shared" si="132"/>
        <v>5132</v>
      </c>
      <c r="BC30" s="7" t="b">
        <f t="shared" si="35"/>
        <v>1</v>
      </c>
      <c r="BD30" s="7"/>
      <c r="BE30" s="7"/>
      <c r="BF30" s="7"/>
      <c r="BG30" s="7"/>
      <c r="BH30" s="7"/>
      <c r="BI30" s="7"/>
      <c r="BJ30" s="7"/>
      <c r="BK30" s="7"/>
      <c r="BL30" s="7"/>
      <c r="BM30" s="7"/>
      <c r="BN30" s="7"/>
      <c r="BO30" s="7"/>
      <c r="BP30" s="7">
        <f>MATCH($A30,GenUnits!$AX$43:$AX$48,1)</f>
        <v>6</v>
      </c>
      <c r="BQ30" s="7"/>
      <c r="BR30" s="2">
        <f t="shared" ca="1" si="36"/>
        <v>0.47992057321381393</v>
      </c>
      <c r="BS30" s="2">
        <f t="shared" ca="1" si="37"/>
        <v>0.15285248479983765</v>
      </c>
      <c r="BT30" s="2">
        <f t="shared" ca="1" si="38"/>
        <v>0.36722694198634848</v>
      </c>
      <c r="BU30" s="59">
        <f t="shared" ca="1" si="39"/>
        <v>0.56651358187649192</v>
      </c>
      <c r="BV30" s="59">
        <f t="shared" ca="1" si="40"/>
        <v>1</v>
      </c>
      <c r="BW30" s="59">
        <f t="shared" ca="1" si="41"/>
        <v>0.43348641812350802</v>
      </c>
      <c r="BX30" s="2">
        <f t="shared" si="42"/>
        <v>1.6286644951140065E-2</v>
      </c>
      <c r="BY30" s="2">
        <f t="shared" si="43"/>
        <v>1</v>
      </c>
      <c r="BZ30" s="60">
        <f t="shared" ca="1" si="44"/>
        <v>0.75844027670890501</v>
      </c>
      <c r="CA30" s="60">
        <f t="shared" ca="1" si="45"/>
        <v>0.24155972329109496</v>
      </c>
      <c r="CB30" s="52">
        <v>0</v>
      </c>
      <c r="CC30" s="2"/>
      <c r="CD30" s="7"/>
      <c r="CE30" s="7"/>
      <c r="CF30" s="7"/>
      <c r="CG30" s="7">
        <f t="shared" si="46"/>
        <v>100</v>
      </c>
      <c r="CH30" s="9">
        <f t="shared" si="133"/>
        <v>3744.0713053479012</v>
      </c>
      <c r="CI30" s="7">
        <f t="shared" si="71"/>
        <v>112</v>
      </c>
      <c r="CJ30" s="9">
        <f t="shared" si="47"/>
        <v>1275.928694652099</v>
      </c>
      <c r="CK30" s="7">
        <f t="shared" ca="1" si="48"/>
        <v>2462.9523817332929</v>
      </c>
      <c r="CL30" s="7">
        <f t="shared" ca="1" si="49"/>
        <v>784.43895199276687</v>
      </c>
      <c r="CM30" s="7">
        <f t="shared" ca="1" si="50"/>
        <v>1884.6086662739403</v>
      </c>
      <c r="CN30" s="7">
        <f t="shared" ca="1" si="51"/>
        <v>3723.2061762988033</v>
      </c>
      <c r="CO30" s="7">
        <f t="shared" ca="1" si="52"/>
        <v>122.95177446242292</v>
      </c>
      <c r="CP30" s="7">
        <f t="shared" ca="1" si="53"/>
        <v>1285.8420492387741</v>
      </c>
      <c r="CQ30" s="7">
        <f t="array" aca="1" ref="CQ30" ca="1">(SUM(IF($AV$5:$BA$5=CQ$5,$AV30:$BA30))*BU30+SUM(IF($AV$5:$BA$5="B",$AV30:$BA30))*BR30)*$Q30</f>
        <v>2835.2388801537213</v>
      </c>
      <c r="CR30" s="7">
        <f t="array" aca="1" ref="CR30" ca="1">(SUM(IF($AV$5:$BA$5=CR$5,$AV30:$BA30))*BV30+SUM(IF($AV$5:$BA$5="B",$AV30:$BA30))*BS30)*$Q30</f>
        <v>127.28524847998376</v>
      </c>
      <c r="CS30" s="7">
        <f t="array" aca="1" ref="CS30" ca="1">(SUM(IF($AV$5:$BA$5=CS$5,$AV30:$BA30))*BW30+SUM(IF($AV$5:$BA$5="B",$AV30:$BA30))*BT30)*$Q30</f>
        <v>2169.4758713662945</v>
      </c>
      <c r="CT30" s="7">
        <f t="array" aca="1" ref="CT30" ca="1">(SUM(IF($BF$5:$BL$5=CT$5,IF($BF$4:$BL$4="B",$BF30:$BL30)))*BU30+SUM(IF($BF$5:$BL$5=CT$5,IF($BF$4:$BL$4=CT$4,$BF30:$BL30)))+SUM(IF($BF$5:$BL$5="B",$BF30:$BL30))*BZ30)*$Q30</f>
        <v>0</v>
      </c>
      <c r="CU30" s="7">
        <f t="array" aca="1" ref="CU30" ca="1">(SUM(IF($BF$5:$BL$5=CU$5,IF($BF$4:$BL$4="B",$BF30:$BL30)))*BV30+SUM(IF($BF$5:$BL$5=CU$5,IF($BF$4:$BL$4=CU$4,$BF30:$BL30)))+SUM(IF($BF$5:$BL$5="B",$BF30:$BL30))*CA30)*$Q30</f>
        <v>0</v>
      </c>
      <c r="CV30" s="7">
        <f t="array" aca="1" ref="CV30" ca="1">(SUM(IF($BF$5:$BL$5=CV$5,IF($BF$4:$BL$4="B",$BF30:$BL30)))*BW30+SUM(IF($BF$5:$BL$5=CV$5,IF($BF$4:$BL$4=CV$4,$BF30:$BL30)))+SUM(IF($BF$5:$BL$5="B",$BF30:$BL30))*CB30)*$Q30</f>
        <v>0</v>
      </c>
      <c r="CW30" s="7"/>
      <c r="CX30" s="9">
        <f t="shared" si="72"/>
        <v>5020</v>
      </c>
      <c r="CY30" s="9">
        <f t="shared" si="134"/>
        <v>-3744.0713053479012</v>
      </c>
      <c r="CZ30" s="9">
        <f t="shared" si="135"/>
        <v>1275.9286946520988</v>
      </c>
      <c r="DA30" s="9">
        <f t="shared" si="75"/>
        <v>112</v>
      </c>
      <c r="DB30" s="9">
        <f t="shared" si="136"/>
        <v>-1387.928694652099</v>
      </c>
      <c r="DC30" s="9">
        <f t="shared" si="137"/>
        <v>-1275.928694652099</v>
      </c>
      <c r="DD30" s="9">
        <f t="shared" si="78"/>
        <v>5020</v>
      </c>
      <c r="DE30" s="9">
        <f t="shared" ca="1" si="54"/>
        <v>-2462.9523817332929</v>
      </c>
      <c r="DF30" s="9">
        <f t="shared" ca="1" si="138"/>
        <v>2557.0476182667071</v>
      </c>
      <c r="DG30" s="9">
        <f t="shared" si="80"/>
        <v>112</v>
      </c>
      <c r="DH30" s="9">
        <f t="shared" ca="1" si="139"/>
        <v>-2669.0476182667071</v>
      </c>
      <c r="DI30" s="9">
        <f t="shared" ca="1" si="140"/>
        <v>-2557.0476182667071</v>
      </c>
      <c r="DJ30" s="9">
        <f t="shared" si="83"/>
        <v>5020</v>
      </c>
      <c r="DK30" s="9">
        <f t="shared" ca="1" si="55"/>
        <v>-3723.2061762988033</v>
      </c>
      <c r="DL30" s="9">
        <f t="shared" ca="1" si="141"/>
        <v>1296.7938237011967</v>
      </c>
      <c r="DM30" s="9">
        <f t="shared" si="85"/>
        <v>112</v>
      </c>
      <c r="DN30" s="9">
        <f t="shared" ca="1" si="56"/>
        <v>-1408.793823701197</v>
      </c>
      <c r="DO30" s="9">
        <f t="shared" ca="1" si="142"/>
        <v>-1296.793823701197</v>
      </c>
      <c r="DP30" s="9">
        <f t="shared" si="87"/>
        <v>5020</v>
      </c>
      <c r="DQ30" s="9">
        <f t="shared" ca="1" si="57"/>
        <v>-2835.2388801537213</v>
      </c>
      <c r="DR30" s="9">
        <f t="shared" ca="1" si="143"/>
        <v>2184.7611198462787</v>
      </c>
      <c r="DS30" s="9">
        <f t="shared" si="89"/>
        <v>112</v>
      </c>
      <c r="DT30" s="9">
        <f t="shared" ca="1" si="58"/>
        <v>-2296.7611198462782</v>
      </c>
      <c r="DU30" s="9">
        <f t="shared" ca="1" si="144"/>
        <v>-2184.7611198462782</v>
      </c>
    </row>
    <row r="31" spans="1:125" ht="14.45" x14ac:dyDescent="0.35">
      <c r="A31" s="16">
        <f t="shared" si="125"/>
        <v>1000</v>
      </c>
      <c r="B31" s="14">
        <f t="shared" si="126"/>
        <v>10</v>
      </c>
      <c r="C31" s="9">
        <f t="shared" si="16"/>
        <v>10</v>
      </c>
      <c r="D31" s="14">
        <f t="shared" si="17"/>
        <v>502</v>
      </c>
      <c r="E31" s="34">
        <f t="shared" si="92"/>
        <v>220</v>
      </c>
      <c r="F31" s="15">
        <f t="shared" si="18"/>
        <v>-10</v>
      </c>
      <c r="G31">
        <f t="shared" si="91"/>
        <v>10</v>
      </c>
      <c r="H31">
        <f t="shared" si="91"/>
        <v>1</v>
      </c>
      <c r="I31" s="5">
        <f>GenUnits!$V$12</f>
        <v>400</v>
      </c>
      <c r="J31" s="5">
        <f>GenUnits!$W$12</f>
        <v>122</v>
      </c>
      <c r="K31" s="14">
        <f t="shared" si="60"/>
        <v>502</v>
      </c>
      <c r="L31" s="14">
        <f t="shared" si="127"/>
        <v>502</v>
      </c>
      <c r="M31" s="14">
        <f t="shared" si="128"/>
        <v>122</v>
      </c>
      <c r="N31" s="34">
        <f>GenUnits!$V$11</f>
        <v>1297</v>
      </c>
      <c r="O31" s="34">
        <f>GenUnits!$W$11</f>
        <v>864</v>
      </c>
      <c r="P31" s="14">
        <f t="shared" si="19"/>
        <v>442</v>
      </c>
      <c r="Q31" s="14">
        <f t="shared" si="20"/>
        <v>1</v>
      </c>
      <c r="S31" s="7">
        <f t="shared" si="63"/>
        <v>502</v>
      </c>
      <c r="T31" s="7">
        <f t="shared" si="21"/>
        <v>112</v>
      </c>
      <c r="U31" s="7">
        <f t="shared" si="129"/>
        <v>614</v>
      </c>
      <c r="V31" s="7">
        <f t="shared" si="22"/>
        <v>5020</v>
      </c>
      <c r="W31" s="7">
        <f t="shared" si="23"/>
        <v>112</v>
      </c>
      <c r="X31" s="7">
        <f t="shared" si="130"/>
        <v>5132</v>
      </c>
      <c r="Y31" s="45"/>
      <c r="Z31" s="35"/>
      <c r="AA31" s="44">
        <f t="shared" si="66"/>
        <v>220</v>
      </c>
      <c r="AB31" s="7">
        <f t="shared" si="24"/>
        <v>492</v>
      </c>
      <c r="AC31" s="15">
        <f t="shared" si="25"/>
        <v>10</v>
      </c>
      <c r="AD31" s="8">
        <v>0</v>
      </c>
      <c r="AE31" s="15">
        <f t="shared" si="26"/>
        <v>0</v>
      </c>
      <c r="AF31" s="7">
        <f t="shared" si="67"/>
        <v>0</v>
      </c>
      <c r="AG31" s="7">
        <f t="shared" si="27"/>
        <v>112</v>
      </c>
      <c r="AH31" s="7">
        <f t="shared" si="131"/>
        <v>614</v>
      </c>
      <c r="AI31" s="7" t="b">
        <f t="shared" si="28"/>
        <v>1</v>
      </c>
      <c r="AJ31" s="7"/>
      <c r="AK31" s="7"/>
      <c r="AL31" s="7"/>
      <c r="AM31" s="7"/>
      <c r="AN31" s="7"/>
      <c r="AO31" s="7"/>
      <c r="AP31" s="7"/>
      <c r="AQ31" s="7"/>
      <c r="AR31" s="7"/>
      <c r="AS31" s="7"/>
      <c r="AT31" s="7"/>
      <c r="AU31" s="7"/>
      <c r="AV31" s="7">
        <f t="shared" si="29"/>
        <v>4920</v>
      </c>
      <c r="AW31" s="7">
        <f t="shared" si="30"/>
        <v>100</v>
      </c>
      <c r="AX31" s="7">
        <f t="shared" si="31"/>
        <v>0</v>
      </c>
      <c r="AY31" s="30">
        <f t="shared" si="32"/>
        <v>0</v>
      </c>
      <c r="AZ31" s="30">
        <f t="shared" si="33"/>
        <v>0</v>
      </c>
      <c r="BA31" s="30">
        <f t="shared" si="34"/>
        <v>112</v>
      </c>
      <c r="BB31" s="7">
        <f t="shared" si="132"/>
        <v>5132</v>
      </c>
      <c r="BC31" s="7" t="b">
        <f t="shared" si="35"/>
        <v>1</v>
      </c>
      <c r="BD31" s="7"/>
      <c r="BE31" s="7"/>
      <c r="BF31" s="7"/>
      <c r="BG31" s="7"/>
      <c r="BH31" s="7"/>
      <c r="BI31" s="7"/>
      <c r="BJ31" s="7"/>
      <c r="BK31" s="7"/>
      <c r="BL31" s="7"/>
      <c r="BM31" s="7"/>
      <c r="BN31" s="7"/>
      <c r="BO31" s="7"/>
      <c r="BP31" s="7">
        <f>MATCH($A31,GenUnits!$AX$43:$AX$48,1)</f>
        <v>6</v>
      </c>
      <c r="BQ31" s="7"/>
      <c r="BR31" s="2">
        <f t="shared" ca="1" si="36"/>
        <v>0.47992057321381393</v>
      </c>
      <c r="BS31" s="2">
        <f t="shared" ca="1" si="37"/>
        <v>0.15285248479983765</v>
      </c>
      <c r="BT31" s="2">
        <f t="shared" ca="1" si="38"/>
        <v>0.36722694198634848</v>
      </c>
      <c r="BU31" s="59">
        <f t="shared" ca="1" si="39"/>
        <v>0.56651358187649192</v>
      </c>
      <c r="BV31" s="59">
        <f t="shared" ca="1" si="40"/>
        <v>1</v>
      </c>
      <c r="BW31" s="59">
        <f t="shared" ca="1" si="41"/>
        <v>0.43348641812350802</v>
      </c>
      <c r="BX31" s="2">
        <f t="shared" si="42"/>
        <v>1.6286644951140065E-2</v>
      </c>
      <c r="BY31" s="2">
        <f t="shared" si="43"/>
        <v>1</v>
      </c>
      <c r="BZ31" s="60">
        <f t="shared" ca="1" si="44"/>
        <v>0.75844027670890501</v>
      </c>
      <c r="CA31" s="60">
        <f t="shared" ca="1" si="45"/>
        <v>0.24155972329109496</v>
      </c>
      <c r="CB31" s="52">
        <v>0</v>
      </c>
      <c r="CC31" s="2"/>
      <c r="CD31" s="7"/>
      <c r="CE31" s="7"/>
      <c r="CF31" s="7"/>
      <c r="CG31" s="7">
        <f t="shared" si="46"/>
        <v>220</v>
      </c>
      <c r="CH31" s="9">
        <f t="shared" si="133"/>
        <v>3744.0713053479012</v>
      </c>
      <c r="CI31" s="7">
        <f t="shared" si="71"/>
        <v>112</v>
      </c>
      <c r="CJ31" s="9">
        <f t="shared" si="47"/>
        <v>1275.928694652099</v>
      </c>
      <c r="CK31" s="7">
        <f t="shared" ca="1" si="48"/>
        <v>2462.9523817332929</v>
      </c>
      <c r="CL31" s="7">
        <f t="shared" ca="1" si="49"/>
        <v>784.43895199276687</v>
      </c>
      <c r="CM31" s="7">
        <f t="shared" ca="1" si="50"/>
        <v>1884.6086662739403</v>
      </c>
      <c r="CN31" s="7">
        <f t="shared" ca="1" si="51"/>
        <v>3723.2061762988033</v>
      </c>
      <c r="CO31" s="7">
        <f t="shared" ca="1" si="52"/>
        <v>122.95177446242292</v>
      </c>
      <c r="CP31" s="7">
        <f t="shared" ca="1" si="53"/>
        <v>1285.8420492387741</v>
      </c>
      <c r="CQ31" s="7">
        <f t="array" aca="1" ref="CQ31" ca="1">(SUM(IF($AV$5:$BA$5=CQ$5,$AV31:$BA31))*BU31+SUM(IF($AV$5:$BA$5="B",$AV31:$BA31))*BR31)*$Q31</f>
        <v>2835.2388801537213</v>
      </c>
      <c r="CR31" s="7">
        <f t="array" aca="1" ref="CR31" ca="1">(SUM(IF($AV$5:$BA$5=CR$5,$AV31:$BA31))*BV31+SUM(IF($AV$5:$BA$5="B",$AV31:$BA31))*BS31)*$Q31</f>
        <v>127.28524847998376</v>
      </c>
      <c r="CS31" s="7">
        <f t="array" aca="1" ref="CS31" ca="1">(SUM(IF($AV$5:$BA$5=CS$5,$AV31:$BA31))*BW31+SUM(IF($AV$5:$BA$5="B",$AV31:$BA31))*BT31)*$Q31</f>
        <v>2169.4758713662945</v>
      </c>
      <c r="CT31" s="7">
        <f t="array" aca="1" ref="CT31" ca="1">(SUM(IF($BF$5:$BL$5=CT$5,IF($BF$4:$BL$4="B",$BF31:$BL31)))*BU31+SUM(IF($BF$5:$BL$5=CT$5,IF($BF$4:$BL$4=CT$4,$BF31:$BL31)))+SUM(IF($BF$5:$BL$5="B",$BF31:$BL31))*BZ31)*$Q31</f>
        <v>0</v>
      </c>
      <c r="CU31" s="7">
        <f t="array" aca="1" ref="CU31" ca="1">(SUM(IF($BF$5:$BL$5=CU$5,IF($BF$4:$BL$4="B",$BF31:$BL31)))*BV31+SUM(IF($BF$5:$BL$5=CU$5,IF($BF$4:$BL$4=CU$4,$BF31:$BL31)))+SUM(IF($BF$5:$BL$5="B",$BF31:$BL31))*CA31)*$Q31</f>
        <v>0</v>
      </c>
      <c r="CV31" s="7">
        <f t="array" aca="1" ref="CV31" ca="1">(SUM(IF($BF$5:$BL$5=CV$5,IF($BF$4:$BL$4="B",$BF31:$BL31)))*BW31+SUM(IF($BF$5:$BL$5=CV$5,IF($BF$4:$BL$4=CV$4,$BF31:$BL31)))+SUM(IF($BF$5:$BL$5="B",$BF31:$BL31))*CB31)*$Q31</f>
        <v>0</v>
      </c>
      <c r="CW31" s="7"/>
      <c r="CX31" s="9">
        <f t="shared" si="72"/>
        <v>5020</v>
      </c>
      <c r="CY31" s="9">
        <f t="shared" si="134"/>
        <v>-3744.0713053479012</v>
      </c>
      <c r="CZ31" s="9">
        <f t="shared" si="135"/>
        <v>1275.9286946520988</v>
      </c>
      <c r="DA31" s="9">
        <f t="shared" si="75"/>
        <v>112</v>
      </c>
      <c r="DB31" s="9">
        <f t="shared" si="136"/>
        <v>-1387.928694652099</v>
      </c>
      <c r="DC31" s="9">
        <f t="shared" si="137"/>
        <v>-1275.928694652099</v>
      </c>
      <c r="DD31" s="9">
        <f t="shared" si="78"/>
        <v>5020</v>
      </c>
      <c r="DE31" s="9">
        <f t="shared" ca="1" si="54"/>
        <v>-2462.9523817332929</v>
      </c>
      <c r="DF31" s="9">
        <f t="shared" ca="1" si="138"/>
        <v>2557.0476182667071</v>
      </c>
      <c r="DG31" s="9">
        <f t="shared" si="80"/>
        <v>112</v>
      </c>
      <c r="DH31" s="9">
        <f t="shared" ca="1" si="139"/>
        <v>-2669.0476182667071</v>
      </c>
      <c r="DI31" s="9">
        <f t="shared" ca="1" si="140"/>
        <v>-2557.0476182667071</v>
      </c>
      <c r="DJ31" s="9">
        <f t="shared" si="83"/>
        <v>5020</v>
      </c>
      <c r="DK31" s="9">
        <f t="shared" ca="1" si="55"/>
        <v>-3723.2061762988033</v>
      </c>
      <c r="DL31" s="9">
        <f t="shared" ca="1" si="141"/>
        <v>1296.7938237011967</v>
      </c>
      <c r="DM31" s="9">
        <f t="shared" si="85"/>
        <v>112</v>
      </c>
      <c r="DN31" s="9">
        <f t="shared" ca="1" si="56"/>
        <v>-1408.793823701197</v>
      </c>
      <c r="DO31" s="9">
        <f t="shared" ca="1" si="142"/>
        <v>-1296.793823701197</v>
      </c>
      <c r="DP31" s="9">
        <f t="shared" si="87"/>
        <v>5020</v>
      </c>
      <c r="DQ31" s="9">
        <f t="shared" ca="1" si="57"/>
        <v>-2835.2388801537213</v>
      </c>
      <c r="DR31" s="9">
        <f t="shared" ca="1" si="143"/>
        <v>2184.7611198462787</v>
      </c>
      <c r="DS31" s="9">
        <f t="shared" si="89"/>
        <v>112</v>
      </c>
      <c r="DT31" s="9">
        <f t="shared" ca="1" si="58"/>
        <v>-2296.7611198462782</v>
      </c>
      <c r="DU31" s="9">
        <f t="shared" ca="1" si="144"/>
        <v>-2184.7611198462782</v>
      </c>
    </row>
    <row r="32" spans="1:125" ht="14.45" x14ac:dyDescent="0.35">
      <c r="A32" s="16">
        <f>A20</f>
        <v>600</v>
      </c>
      <c r="B32" s="1">
        <v>100</v>
      </c>
      <c r="C32" s="9">
        <f t="shared" si="16"/>
        <v>100</v>
      </c>
      <c r="D32" s="14">
        <f t="shared" si="17"/>
        <v>102</v>
      </c>
      <c r="E32" s="34">
        <f t="shared" si="92"/>
        <v>0</v>
      </c>
      <c r="F32" s="15">
        <f t="shared" si="18"/>
        <v>0</v>
      </c>
      <c r="G32">
        <f t="shared" si="91"/>
        <v>10</v>
      </c>
      <c r="H32">
        <f t="shared" si="91"/>
        <v>1</v>
      </c>
      <c r="I32" s="5">
        <f>GenUnits!$V$12</f>
        <v>400</v>
      </c>
      <c r="J32" s="5">
        <f>GenUnits!$W$12</f>
        <v>122</v>
      </c>
      <c r="K32" s="14">
        <f>$D32</f>
        <v>102</v>
      </c>
      <c r="L32" s="14">
        <f>MAX(I32,K32)</f>
        <v>400</v>
      </c>
      <c r="M32" s="14">
        <f>J32</f>
        <v>122</v>
      </c>
      <c r="N32" s="34">
        <f>GenUnits!$V$11</f>
        <v>1297</v>
      </c>
      <c r="O32" s="34">
        <f>GenUnits!$W$11</f>
        <v>864</v>
      </c>
      <c r="P32" s="14">
        <f t="shared" si="19"/>
        <v>42</v>
      </c>
      <c r="Q32" s="14">
        <f t="shared" si="20"/>
        <v>1</v>
      </c>
      <c r="S32" s="7">
        <f>$L32-MAX($F32,0)</f>
        <v>400</v>
      </c>
      <c r="T32" s="7">
        <f t="shared" si="21"/>
        <v>22</v>
      </c>
      <c r="U32" s="7">
        <f>SUM(S32:T32)</f>
        <v>422</v>
      </c>
      <c r="V32" s="7">
        <f t="shared" si="22"/>
        <v>4000</v>
      </c>
      <c r="W32" s="7">
        <f t="shared" si="23"/>
        <v>22</v>
      </c>
      <c r="X32" s="7">
        <f>SUM(V32:W32)</f>
        <v>4022</v>
      </c>
      <c r="Y32" s="45" t="str">
        <f>$C32&amp;" MW"</f>
        <v>100 MW</v>
      </c>
      <c r="Z32" s="46" t="str">
        <f>$D32&amp;" MW"</f>
        <v>102 MW</v>
      </c>
      <c r="AA32" s="44">
        <f>$E32</f>
        <v>0</v>
      </c>
      <c r="AB32" s="7">
        <f t="shared" si="24"/>
        <v>300</v>
      </c>
      <c r="AC32" s="15">
        <f t="shared" si="25"/>
        <v>100</v>
      </c>
      <c r="AD32" s="8">
        <v>0</v>
      </c>
      <c r="AE32" s="15">
        <f t="shared" si="26"/>
        <v>0</v>
      </c>
      <c r="AF32" s="7">
        <f t="shared" si="67"/>
        <v>0</v>
      </c>
      <c r="AG32" s="7">
        <f t="shared" si="27"/>
        <v>22</v>
      </c>
      <c r="AH32" s="7">
        <f>SUM(AB32:AG32)</f>
        <v>422</v>
      </c>
      <c r="AI32" s="7" t="b">
        <f t="shared" si="28"/>
        <v>1</v>
      </c>
      <c r="AJ32" s="7"/>
      <c r="AK32" s="7"/>
      <c r="AL32" s="7"/>
      <c r="AM32" s="7"/>
      <c r="AN32" s="7"/>
      <c r="AO32" s="7"/>
      <c r="AP32" s="7"/>
      <c r="AQ32" s="7"/>
      <c r="AR32" s="7"/>
      <c r="AS32" s="7"/>
      <c r="AT32" s="7"/>
      <c r="AU32" s="7"/>
      <c r="AV32" s="7">
        <f t="shared" si="29"/>
        <v>3000</v>
      </c>
      <c r="AW32" s="7">
        <f t="shared" si="30"/>
        <v>1000</v>
      </c>
      <c r="AX32" s="7">
        <f t="shared" si="31"/>
        <v>0</v>
      </c>
      <c r="AY32" s="30">
        <f t="shared" si="32"/>
        <v>0</v>
      </c>
      <c r="AZ32" s="30">
        <f t="shared" si="33"/>
        <v>0</v>
      </c>
      <c r="BA32" s="30">
        <f t="shared" si="34"/>
        <v>22</v>
      </c>
      <c r="BB32" s="7">
        <f>SUM(AV32:BA32)</f>
        <v>4022</v>
      </c>
      <c r="BC32" s="7" t="b">
        <f t="shared" si="35"/>
        <v>1</v>
      </c>
      <c r="BD32" s="7"/>
      <c r="BE32" s="7"/>
      <c r="BF32" s="7"/>
      <c r="BG32" s="7"/>
      <c r="BH32" s="7"/>
      <c r="BI32" s="7"/>
      <c r="BJ32" s="7"/>
      <c r="BK32" s="7"/>
      <c r="BL32" s="7"/>
      <c r="BM32" s="7"/>
      <c r="BN32" s="7"/>
      <c r="BO32" s="7"/>
      <c r="BP32" s="7">
        <f>MATCH($A32,GenUnits!$AX$43:$AX$48,1)</f>
        <v>2</v>
      </c>
      <c r="BQ32" s="7"/>
      <c r="BR32" s="2">
        <f t="shared" ca="1" si="36"/>
        <v>0.79761451621591573</v>
      </c>
      <c r="BS32" s="2">
        <f t="shared" ca="1" si="37"/>
        <v>0.19400699889136805</v>
      </c>
      <c r="BT32" s="2">
        <f t="shared" ca="1" si="38"/>
        <v>8.3784848927162189E-3</v>
      </c>
      <c r="BU32" s="59">
        <f t="shared" ca="1" si="39"/>
        <v>0.98960476718632573</v>
      </c>
      <c r="BV32" s="59">
        <f t="shared" ca="1" si="40"/>
        <v>1</v>
      </c>
      <c r="BW32" s="59">
        <f t="shared" ca="1" si="41"/>
        <v>1.0395232813674229E-2</v>
      </c>
      <c r="BX32" s="2">
        <f t="shared" si="42"/>
        <v>0.23696682464454977</v>
      </c>
      <c r="BY32" s="2">
        <f t="shared" si="43"/>
        <v>1</v>
      </c>
      <c r="BZ32" s="60">
        <f t="shared" ca="1" si="44"/>
        <v>0.80435378222871823</v>
      </c>
      <c r="CA32" s="60">
        <f t="shared" ca="1" si="45"/>
        <v>0.1956462177712818</v>
      </c>
      <c r="CB32" s="52">
        <v>0</v>
      </c>
      <c r="CC32" s="2"/>
      <c r="CD32" s="7"/>
      <c r="CE32" s="7"/>
      <c r="CF32" s="7"/>
      <c r="CG32" s="7">
        <f t="shared" si="46"/>
        <v>0</v>
      </c>
      <c r="CH32" s="9">
        <f>$V32-CJ32</f>
        <v>3874.5332337565346</v>
      </c>
      <c r="CI32" s="7">
        <f>$W32</f>
        <v>22</v>
      </c>
      <c r="CJ32" s="9">
        <f t="shared" si="47"/>
        <v>125.46676624346527</v>
      </c>
      <c r="CK32" s="7">
        <f t="shared" ca="1" si="48"/>
        <v>3208.0055842204129</v>
      </c>
      <c r="CL32" s="7">
        <f t="shared" ca="1" si="49"/>
        <v>780.29614954108229</v>
      </c>
      <c r="CM32" s="7">
        <f t="shared" ca="1" si="50"/>
        <v>33.69826623850463</v>
      </c>
      <c r="CN32" s="7">
        <f t="shared" ca="1" si="51"/>
        <v>3716.5882931081642</v>
      </c>
      <c r="CO32" s="7">
        <f t="shared" ca="1" si="52"/>
        <v>201.69103069693892</v>
      </c>
      <c r="CP32" s="7">
        <f t="shared" ca="1" si="53"/>
        <v>103.72067619489638</v>
      </c>
      <c r="CQ32" s="7">
        <f t="array" aca="1" ref="CQ32" ca="1">(SUM(IF($AV$5:$BA$5=CQ$5,$AV32:$BA32))*BU32+SUM(IF($AV$5:$BA$5="B",$AV32:$BA32))*BR32)*$Q32</f>
        <v>3766.4288177748931</v>
      </c>
      <c r="CR32" s="7">
        <f t="array" aca="1" ref="CR32" ca="1">(SUM(IF($AV$5:$BA$5=CR$5,$AV32:$BA32))*BV32+SUM(IF($AV$5:$BA$5="B",$AV32:$BA32))*BS32)*$Q32</f>
        <v>216.00699889136806</v>
      </c>
      <c r="CS32" s="7">
        <f t="array" aca="1" ref="CS32" ca="1">(SUM(IF($AV$5:$BA$5=CS$5,$AV32:$BA32))*BW32+SUM(IF($AV$5:$BA$5="B",$AV32:$BA32))*BT32)*$Q32</f>
        <v>39.56418333373891</v>
      </c>
      <c r="CT32" s="7">
        <f t="array" aca="1" ref="CT32" ca="1">(SUM(IF($BF$5:$BL$5=CT$5,IF($BF$4:$BL$4="B",$BF32:$BL32)))*BU32+SUM(IF($BF$5:$BL$5=CT$5,IF($BF$4:$BL$4=CT$4,$BF32:$BL32)))+SUM(IF($BF$5:$BL$5="B",$BF32:$BL32))*BZ32)*$Q32</f>
        <v>0</v>
      </c>
      <c r="CU32" s="7">
        <f t="array" aca="1" ref="CU32" ca="1">(SUM(IF($BF$5:$BL$5=CU$5,IF($BF$4:$BL$4="B",$BF32:$BL32)))*BV32+SUM(IF($BF$5:$BL$5=CU$5,IF($BF$4:$BL$4=CU$4,$BF32:$BL32)))+SUM(IF($BF$5:$BL$5="B",$BF32:$BL32))*CA32)*$Q32</f>
        <v>0</v>
      </c>
      <c r="CV32" s="7">
        <f t="array" aca="1" ref="CV32" ca="1">(SUM(IF($BF$5:$BL$5=CV$5,IF($BF$4:$BL$4="B",$BF32:$BL32)))*BW32+SUM(IF($BF$5:$BL$5=CV$5,IF($BF$4:$BL$4=CV$4,$BF32:$BL32)))+SUM(IF($BF$5:$BL$5="B",$BF32:$BL32))*CB32)*$Q32</f>
        <v>0</v>
      </c>
      <c r="CW32" s="7"/>
      <c r="CX32" s="9">
        <f>$V32</f>
        <v>4000</v>
      </c>
      <c r="CY32" s="9">
        <f>-CH32</f>
        <v>-3874.5332337565346</v>
      </c>
      <c r="CZ32" s="9">
        <f>SUM(CX32:CY32)</f>
        <v>125.46676624346537</v>
      </c>
      <c r="DA32" s="9">
        <f>$W32</f>
        <v>22</v>
      </c>
      <c r="DB32" s="9">
        <f>-SUM(CI32:CJ32)</f>
        <v>-147.46676624346526</v>
      </c>
      <c r="DC32" s="9">
        <f>SUM(DA32:DB32)</f>
        <v>-125.46676624346526</v>
      </c>
      <c r="DD32" s="9">
        <f>$V32</f>
        <v>4000</v>
      </c>
      <c r="DE32" s="9">
        <f t="shared" ca="1" si="54"/>
        <v>-3208.0055842204129</v>
      </c>
      <c r="DF32" s="9">
        <f ca="1">SUM(DD32:DE32)</f>
        <v>791.99441577958714</v>
      </c>
      <c r="DG32" s="9">
        <f>$W32</f>
        <v>22</v>
      </c>
      <c r="DH32" s="9">
        <f ca="1">-SUM(CL32:CM32)</f>
        <v>-813.99441577958692</v>
      </c>
      <c r="DI32" s="9">
        <f ca="1">SUM(DG32:DH32)</f>
        <v>-791.99441577958692</v>
      </c>
      <c r="DJ32" s="9">
        <f>$V32</f>
        <v>4000</v>
      </c>
      <c r="DK32" s="9">
        <f t="shared" ca="1" si="55"/>
        <v>-3716.5882931081642</v>
      </c>
      <c r="DL32" s="9">
        <f ca="1">SUM(DJ32:DK32)</f>
        <v>283.41170689183582</v>
      </c>
      <c r="DM32" s="9">
        <f>$W32</f>
        <v>22</v>
      </c>
      <c r="DN32" s="9">
        <f t="shared" ca="1" si="56"/>
        <v>-305.41170689183531</v>
      </c>
      <c r="DO32" s="9">
        <f ca="1">SUM(DM32:DN32)</f>
        <v>-283.41170689183531</v>
      </c>
      <c r="DP32" s="9">
        <f>$V32</f>
        <v>4000</v>
      </c>
      <c r="DQ32" s="9">
        <f t="shared" ca="1" si="57"/>
        <v>-3766.4288177748931</v>
      </c>
      <c r="DR32" s="9">
        <f ca="1">SUM(DP32:DQ32)</f>
        <v>233.5711822251069</v>
      </c>
      <c r="DS32" s="9">
        <f>$W32</f>
        <v>22</v>
      </c>
      <c r="DT32" s="9">
        <f t="shared" ca="1" si="58"/>
        <v>-255.57118222510695</v>
      </c>
      <c r="DU32" s="9">
        <f ca="1">SUM(DS32:DT32)</f>
        <v>-233.57118222510695</v>
      </c>
    </row>
    <row r="33" spans="1:125" ht="14.45" x14ac:dyDescent="0.35">
      <c r="A33" s="16">
        <f t="shared" si="125"/>
        <v>600</v>
      </c>
      <c r="B33" s="14">
        <f t="shared" ref="B33:B43" si="145">B32</f>
        <v>100</v>
      </c>
      <c r="C33" s="9">
        <f t="shared" si="16"/>
        <v>100</v>
      </c>
      <c r="D33" s="14">
        <f t="shared" si="17"/>
        <v>102</v>
      </c>
      <c r="E33" s="34">
        <f t="shared" si="92"/>
        <v>10</v>
      </c>
      <c r="F33" s="15">
        <f t="shared" si="18"/>
        <v>10</v>
      </c>
      <c r="G33">
        <f t="shared" si="91"/>
        <v>10</v>
      </c>
      <c r="H33">
        <f t="shared" si="91"/>
        <v>1</v>
      </c>
      <c r="I33" s="5">
        <f>GenUnits!$V$12</f>
        <v>400</v>
      </c>
      <c r="J33" s="5">
        <f>GenUnits!$W$12</f>
        <v>122</v>
      </c>
      <c r="K33" s="14">
        <f t="shared" si="60"/>
        <v>102</v>
      </c>
      <c r="L33" s="14">
        <f t="shared" ref="L33:L43" si="146">MAX(I33,K33)</f>
        <v>400</v>
      </c>
      <c r="M33" s="14">
        <f t="shared" ref="M33:M43" si="147">J33</f>
        <v>122</v>
      </c>
      <c r="N33" s="34">
        <f>GenUnits!$V$11</f>
        <v>1297</v>
      </c>
      <c r="O33" s="34">
        <f>GenUnits!$W$11</f>
        <v>864</v>
      </c>
      <c r="P33" s="14">
        <f t="shared" si="19"/>
        <v>42</v>
      </c>
      <c r="Q33" s="14">
        <f t="shared" si="20"/>
        <v>1</v>
      </c>
      <c r="S33" s="7">
        <f t="shared" si="63"/>
        <v>390</v>
      </c>
      <c r="T33" s="7">
        <f t="shared" si="21"/>
        <v>22</v>
      </c>
      <c r="U33" s="7">
        <f t="shared" ref="U33:U43" si="148">SUM(S33:T33)</f>
        <v>412</v>
      </c>
      <c r="V33" s="7">
        <f t="shared" si="22"/>
        <v>3900</v>
      </c>
      <c r="W33" s="7">
        <f t="shared" si="23"/>
        <v>22</v>
      </c>
      <c r="X33" s="7">
        <f t="shared" ref="X33:X43" si="149">SUM(V33:W33)</f>
        <v>3922</v>
      </c>
      <c r="Y33" s="45"/>
      <c r="Z33" s="46"/>
      <c r="AA33" s="44">
        <f t="shared" si="66"/>
        <v>10</v>
      </c>
      <c r="AB33" s="7">
        <f t="shared" si="24"/>
        <v>290</v>
      </c>
      <c r="AC33" s="15">
        <f t="shared" si="25"/>
        <v>100</v>
      </c>
      <c r="AD33" s="8">
        <v>0</v>
      </c>
      <c r="AE33" s="15">
        <f t="shared" si="26"/>
        <v>0</v>
      </c>
      <c r="AF33" s="7">
        <f t="shared" si="67"/>
        <v>10</v>
      </c>
      <c r="AG33" s="7">
        <f t="shared" si="27"/>
        <v>12</v>
      </c>
      <c r="AH33" s="7">
        <f t="shared" ref="AH33:AH43" si="150">SUM(AB33:AG33)</f>
        <v>412</v>
      </c>
      <c r="AI33" s="7" t="b">
        <f t="shared" si="28"/>
        <v>1</v>
      </c>
      <c r="AJ33" s="7"/>
      <c r="AK33" s="7"/>
      <c r="AL33" s="7"/>
      <c r="AM33" s="7"/>
      <c r="AN33" s="7"/>
      <c r="AO33" s="7"/>
      <c r="AP33" s="7"/>
      <c r="AQ33" s="7"/>
      <c r="AR33" s="7"/>
      <c r="AS33" s="7"/>
      <c r="AT33" s="7"/>
      <c r="AU33" s="7"/>
      <c r="AV33" s="7">
        <f t="shared" si="29"/>
        <v>2900</v>
      </c>
      <c r="AW33" s="7">
        <f t="shared" si="30"/>
        <v>1000</v>
      </c>
      <c r="AX33" s="7">
        <f t="shared" si="31"/>
        <v>0</v>
      </c>
      <c r="AY33" s="30">
        <f t="shared" si="32"/>
        <v>0</v>
      </c>
      <c r="AZ33" s="30">
        <f t="shared" si="33"/>
        <v>10</v>
      </c>
      <c r="BA33" s="30">
        <f t="shared" si="34"/>
        <v>12</v>
      </c>
      <c r="BB33" s="7">
        <f t="shared" ref="BB33:BB43" si="151">SUM(AV33:BA33)</f>
        <v>3922</v>
      </c>
      <c r="BC33" s="7" t="b">
        <f t="shared" si="35"/>
        <v>1</v>
      </c>
      <c r="BD33" s="7"/>
      <c r="BE33" s="7"/>
      <c r="BF33" s="7"/>
      <c r="BG33" s="7"/>
      <c r="BH33" s="7"/>
      <c r="BI33" s="7"/>
      <c r="BJ33" s="7"/>
      <c r="BK33" s="7"/>
      <c r="BL33" s="7"/>
      <c r="BM33" s="7"/>
      <c r="BN33" s="7"/>
      <c r="BO33" s="7"/>
      <c r="BP33" s="7">
        <f>MATCH($A33,GenUnits!$AX$43:$AX$48,1)</f>
        <v>2</v>
      </c>
      <c r="BQ33" s="7"/>
      <c r="BR33" s="2">
        <f t="shared" ca="1" si="36"/>
        <v>0.79761451621591573</v>
      </c>
      <c r="BS33" s="2">
        <f t="shared" ca="1" si="37"/>
        <v>0.19400699889136805</v>
      </c>
      <c r="BT33" s="2">
        <f t="shared" ca="1" si="38"/>
        <v>8.3784848927162189E-3</v>
      </c>
      <c r="BU33" s="59">
        <f t="shared" ca="1" si="39"/>
        <v>0.98960476718632573</v>
      </c>
      <c r="BV33" s="59">
        <f t="shared" ca="1" si="40"/>
        <v>1</v>
      </c>
      <c r="BW33" s="59">
        <f t="shared" ca="1" si="41"/>
        <v>1.0395232813674229E-2</v>
      </c>
      <c r="BX33" s="2">
        <f t="shared" si="42"/>
        <v>0.24271844660194175</v>
      </c>
      <c r="BY33" s="2">
        <f t="shared" si="43"/>
        <v>0.91803278688524592</v>
      </c>
      <c r="BZ33" s="60">
        <f t="shared" ca="1" si="44"/>
        <v>0.80435378222871823</v>
      </c>
      <c r="CA33" s="60">
        <f t="shared" ca="1" si="45"/>
        <v>0.1956462177712818</v>
      </c>
      <c r="CB33" s="52">
        <v>0</v>
      </c>
      <c r="CC33" s="2"/>
      <c r="CD33" s="7"/>
      <c r="CE33" s="7"/>
      <c r="CF33" s="7"/>
      <c r="CG33" s="7">
        <f t="shared" si="46"/>
        <v>10</v>
      </c>
      <c r="CH33" s="9">
        <f t="shared" ref="CH33:CH43" si="152">$V33-CJ33</f>
        <v>3777.6699029126212</v>
      </c>
      <c r="CI33" s="7">
        <f t="shared" si="71"/>
        <v>22</v>
      </c>
      <c r="CJ33" s="9">
        <f t="shared" si="47"/>
        <v>122.33009708737865</v>
      </c>
      <c r="CK33" s="7">
        <f t="shared" ca="1" si="48"/>
        <v>3128.2441325988216</v>
      </c>
      <c r="CL33" s="7">
        <f t="shared" ca="1" si="49"/>
        <v>760.89544965194546</v>
      </c>
      <c r="CM33" s="7">
        <f t="shared" ca="1" si="50"/>
        <v>32.860417749233008</v>
      </c>
      <c r="CN33" s="7">
        <f t="shared" ca="1" si="51"/>
        <v>3620.0422887587865</v>
      </c>
      <c r="CO33" s="7">
        <f t="shared" ca="1" si="52"/>
        <v>201.34355574076349</v>
      </c>
      <c r="CP33" s="7">
        <f t="shared" ca="1" si="53"/>
        <v>100.6141555004501</v>
      </c>
      <c r="CQ33" s="7">
        <f t="array" aca="1" ref="CQ33" ca="1">(SUM(IF($AV$5:$BA$5=CQ$5,$AV33:$BA33))*BU33+SUM(IF($AV$5:$BA$5="B",$AV33:$BA33))*BR33)*$Q33</f>
        <v>3675.4444862184196</v>
      </c>
      <c r="CR33" s="7">
        <f t="array" aca="1" ref="CR33" ca="1">(SUM(IF($AV$5:$BA$5=CR$5,$AV33:$BA33))*BV33+SUM(IF($AV$5:$BA$5="B",$AV33:$BA33))*BS33)*$Q33</f>
        <v>207.94706888028173</v>
      </c>
      <c r="CS33" s="7">
        <f t="array" aca="1" ref="CS33" ca="1">(SUM(IF($AV$5:$BA$5=CS$5,$AV33:$BA33))*BW33+SUM(IF($AV$5:$BA$5="B",$AV33:$BA33))*BT33)*$Q33</f>
        <v>38.608444901298647</v>
      </c>
      <c r="CT33" s="7">
        <f t="array" aca="1" ref="CT33" ca="1">(SUM(IF($BF$5:$BL$5=CT$5,IF($BF$4:$BL$4="B",$BF33:$BL33)))*BU33+SUM(IF($BF$5:$BL$5=CT$5,IF($BF$4:$BL$4=CT$4,$BF33:$BL33)))+SUM(IF($BF$5:$BL$5="B",$BF33:$BL33))*BZ33)*$Q33</f>
        <v>0</v>
      </c>
      <c r="CU33" s="7">
        <f t="array" aca="1" ref="CU33" ca="1">(SUM(IF($BF$5:$BL$5=CU$5,IF($BF$4:$BL$4="B",$BF33:$BL33)))*BV33+SUM(IF($BF$5:$BL$5=CU$5,IF($BF$4:$BL$4=CU$4,$BF33:$BL33)))+SUM(IF($BF$5:$BL$5="B",$BF33:$BL33))*CA33)*$Q33</f>
        <v>0</v>
      </c>
      <c r="CV33" s="7">
        <f t="array" aca="1" ref="CV33" ca="1">(SUM(IF($BF$5:$BL$5=CV$5,IF($BF$4:$BL$4="B",$BF33:$BL33)))*BW33+SUM(IF($BF$5:$BL$5=CV$5,IF($BF$4:$BL$4=CV$4,$BF33:$BL33)))+SUM(IF($BF$5:$BL$5="B",$BF33:$BL33))*CB33)*$Q33</f>
        <v>0</v>
      </c>
      <c r="CW33" s="7"/>
      <c r="CX33" s="9">
        <f t="shared" si="72"/>
        <v>3900</v>
      </c>
      <c r="CY33" s="9">
        <f t="shared" ref="CY33:CY43" si="153">-CH33</f>
        <v>-3777.6699029126212</v>
      </c>
      <c r="CZ33" s="9">
        <f t="shared" ref="CZ33:CZ43" si="154">SUM(CX33:CY33)</f>
        <v>122.33009708737882</v>
      </c>
      <c r="DA33" s="9">
        <f t="shared" si="75"/>
        <v>22</v>
      </c>
      <c r="DB33" s="9">
        <f t="shared" ref="DB33:DB43" si="155">-SUM(CI33:CJ33)</f>
        <v>-144.33009708737865</v>
      </c>
      <c r="DC33" s="9">
        <f t="shared" ref="DC33:DC43" si="156">SUM(DA33:DB33)</f>
        <v>-122.33009708737865</v>
      </c>
      <c r="DD33" s="9">
        <f t="shared" si="78"/>
        <v>3900</v>
      </c>
      <c r="DE33" s="9">
        <f t="shared" ca="1" si="54"/>
        <v>-3128.2441325988216</v>
      </c>
      <c r="DF33" s="9">
        <f t="shared" ref="DF33:DF43" ca="1" si="157">SUM(DD33:DE33)</f>
        <v>771.75586740117842</v>
      </c>
      <c r="DG33" s="9">
        <f t="shared" si="80"/>
        <v>22</v>
      </c>
      <c r="DH33" s="9">
        <f t="shared" ref="DH33:DH43" ca="1" si="158">-SUM(CL33:CM33)</f>
        <v>-793.75586740117842</v>
      </c>
      <c r="DI33" s="9">
        <f t="shared" ref="DI33:DI43" ca="1" si="159">SUM(DG33:DH33)</f>
        <v>-771.75586740117842</v>
      </c>
      <c r="DJ33" s="9">
        <f t="shared" si="83"/>
        <v>3900</v>
      </c>
      <c r="DK33" s="9">
        <f t="shared" ca="1" si="55"/>
        <v>-3620.0422887587865</v>
      </c>
      <c r="DL33" s="9">
        <f t="shared" ref="DL33:DL43" ca="1" si="160">SUM(DJ33:DK33)</f>
        <v>279.95771124121347</v>
      </c>
      <c r="DM33" s="9">
        <f t="shared" si="85"/>
        <v>22</v>
      </c>
      <c r="DN33" s="9">
        <f t="shared" ca="1" si="56"/>
        <v>-301.95771124121359</v>
      </c>
      <c r="DO33" s="9">
        <f t="shared" ref="DO33:DO43" ca="1" si="161">SUM(DM33:DN33)</f>
        <v>-279.95771124121359</v>
      </c>
      <c r="DP33" s="9">
        <f t="shared" si="87"/>
        <v>3900</v>
      </c>
      <c r="DQ33" s="9">
        <f t="shared" ca="1" si="57"/>
        <v>-3675.4444862184196</v>
      </c>
      <c r="DR33" s="9">
        <f t="shared" ref="DR33:DR43" ca="1" si="162">SUM(DP33:DQ33)</f>
        <v>224.55551378158043</v>
      </c>
      <c r="DS33" s="9">
        <f t="shared" si="89"/>
        <v>22</v>
      </c>
      <c r="DT33" s="9">
        <f t="shared" ca="1" si="58"/>
        <v>-246.55551378158037</v>
      </c>
      <c r="DU33" s="9">
        <f t="shared" ref="DU33:DU43" ca="1" si="163">SUM(DS33:DT33)</f>
        <v>-224.55551378158037</v>
      </c>
    </row>
    <row r="34" spans="1:125" ht="14.45" x14ac:dyDescent="0.35">
      <c r="A34" s="16">
        <f t="shared" si="125"/>
        <v>600</v>
      </c>
      <c r="B34" s="14">
        <f t="shared" si="145"/>
        <v>100</v>
      </c>
      <c r="C34" s="9">
        <f t="shared" si="16"/>
        <v>100</v>
      </c>
      <c r="D34" s="14">
        <f t="shared" si="17"/>
        <v>102</v>
      </c>
      <c r="E34" s="34">
        <f t="shared" si="92"/>
        <v>100</v>
      </c>
      <c r="F34" s="15">
        <f t="shared" si="18"/>
        <v>100</v>
      </c>
      <c r="G34">
        <f t="shared" si="91"/>
        <v>10</v>
      </c>
      <c r="H34">
        <f t="shared" si="91"/>
        <v>1</v>
      </c>
      <c r="I34" s="5">
        <f>GenUnits!$V$12</f>
        <v>400</v>
      </c>
      <c r="J34" s="5">
        <f>GenUnits!$W$12</f>
        <v>122</v>
      </c>
      <c r="K34" s="14">
        <f t="shared" si="60"/>
        <v>102</v>
      </c>
      <c r="L34" s="14">
        <f t="shared" si="146"/>
        <v>400</v>
      </c>
      <c r="M34" s="14">
        <f t="shared" si="147"/>
        <v>122</v>
      </c>
      <c r="N34" s="34">
        <f>GenUnits!$V$11</f>
        <v>1297</v>
      </c>
      <c r="O34" s="34">
        <f>GenUnits!$W$11</f>
        <v>864</v>
      </c>
      <c r="P34" s="14">
        <f t="shared" si="19"/>
        <v>42</v>
      </c>
      <c r="Q34" s="14">
        <f t="shared" si="20"/>
        <v>1</v>
      </c>
      <c r="S34" s="7">
        <f t="shared" si="63"/>
        <v>300</v>
      </c>
      <c r="T34" s="7">
        <f t="shared" si="21"/>
        <v>100</v>
      </c>
      <c r="U34" s="7">
        <f t="shared" si="148"/>
        <v>400</v>
      </c>
      <c r="V34" s="7">
        <f t="shared" si="22"/>
        <v>3000</v>
      </c>
      <c r="W34" s="7">
        <f t="shared" si="23"/>
        <v>100</v>
      </c>
      <c r="X34" s="7">
        <f t="shared" si="149"/>
        <v>3100</v>
      </c>
      <c r="Y34" s="45"/>
      <c r="Z34" s="46"/>
      <c r="AA34" s="44">
        <f t="shared" si="66"/>
        <v>100</v>
      </c>
      <c r="AB34" s="7">
        <f t="shared" si="24"/>
        <v>278</v>
      </c>
      <c r="AC34" s="15">
        <f t="shared" si="25"/>
        <v>22</v>
      </c>
      <c r="AD34" s="8">
        <v>0</v>
      </c>
      <c r="AE34" s="15">
        <f t="shared" si="26"/>
        <v>0</v>
      </c>
      <c r="AF34" s="7">
        <f t="shared" si="67"/>
        <v>100</v>
      </c>
      <c r="AG34" s="7">
        <f t="shared" si="27"/>
        <v>0</v>
      </c>
      <c r="AH34" s="7">
        <f t="shared" si="150"/>
        <v>400</v>
      </c>
      <c r="AI34" s="7" t="b">
        <f t="shared" si="28"/>
        <v>1</v>
      </c>
      <c r="AJ34" s="7"/>
      <c r="AK34" s="7"/>
      <c r="AL34" s="7"/>
      <c r="AM34" s="7"/>
      <c r="AN34" s="7"/>
      <c r="AO34" s="7"/>
      <c r="AP34" s="7"/>
      <c r="AQ34" s="7"/>
      <c r="AR34" s="7"/>
      <c r="AS34" s="7"/>
      <c r="AT34" s="7"/>
      <c r="AU34" s="7"/>
      <c r="AV34" s="7">
        <f t="shared" si="29"/>
        <v>2780</v>
      </c>
      <c r="AW34" s="7">
        <f t="shared" si="30"/>
        <v>220</v>
      </c>
      <c r="AX34" s="7">
        <f t="shared" si="31"/>
        <v>0</v>
      </c>
      <c r="AY34" s="30">
        <f t="shared" si="32"/>
        <v>0</v>
      </c>
      <c r="AZ34" s="30">
        <f t="shared" si="33"/>
        <v>100</v>
      </c>
      <c r="BA34" s="30">
        <f t="shared" si="34"/>
        <v>0</v>
      </c>
      <c r="BB34" s="7">
        <f t="shared" si="151"/>
        <v>3100</v>
      </c>
      <c r="BC34" s="7" t="b">
        <f t="shared" si="35"/>
        <v>1</v>
      </c>
      <c r="BD34" s="7"/>
      <c r="BE34" s="7"/>
      <c r="BF34" s="7"/>
      <c r="BG34" s="7"/>
      <c r="BH34" s="7"/>
      <c r="BI34" s="7"/>
      <c r="BJ34" s="7"/>
      <c r="BK34" s="7"/>
      <c r="BL34" s="7"/>
      <c r="BM34" s="7"/>
      <c r="BN34" s="7"/>
      <c r="BO34" s="7"/>
      <c r="BP34" s="7">
        <f>MATCH($A34,GenUnits!$AX$43:$AX$48,1)</f>
        <v>2</v>
      </c>
      <c r="BQ34" s="7"/>
      <c r="BR34" s="2">
        <f t="shared" ca="1" si="36"/>
        <v>0.79761451621591573</v>
      </c>
      <c r="BS34" s="2">
        <f t="shared" ca="1" si="37"/>
        <v>0.19400699889136805</v>
      </c>
      <c r="BT34" s="2">
        <f t="shared" ca="1" si="38"/>
        <v>8.3784848927162189E-3</v>
      </c>
      <c r="BU34" s="59">
        <f t="shared" ca="1" si="39"/>
        <v>0.98960476718632573</v>
      </c>
      <c r="BV34" s="59">
        <f t="shared" ca="1" si="40"/>
        <v>1</v>
      </c>
      <c r="BW34" s="59">
        <f t="shared" ca="1" si="41"/>
        <v>1.0395232813674229E-2</v>
      </c>
      <c r="BX34" s="2">
        <f t="shared" si="42"/>
        <v>0.25</v>
      </c>
      <c r="BY34" s="2">
        <f t="shared" si="43"/>
        <v>0.18032786885245902</v>
      </c>
      <c r="BZ34" s="60">
        <f t="shared" ca="1" si="44"/>
        <v>0.80435378222871823</v>
      </c>
      <c r="CA34" s="60">
        <f t="shared" ca="1" si="45"/>
        <v>0.1956462177712818</v>
      </c>
      <c r="CB34" s="52">
        <v>0</v>
      </c>
      <c r="CC34" s="2"/>
      <c r="CD34" s="7"/>
      <c r="CE34" s="7"/>
      <c r="CF34" s="7"/>
      <c r="CG34" s="7">
        <f t="shared" si="46"/>
        <v>100</v>
      </c>
      <c r="CH34" s="9">
        <f t="shared" si="152"/>
        <v>2905.8999253174011</v>
      </c>
      <c r="CI34" s="7">
        <f t="shared" si="71"/>
        <v>100</v>
      </c>
      <c r="CJ34" s="9">
        <f t="shared" si="47"/>
        <v>94.100074682598958</v>
      </c>
      <c r="CK34" s="7">
        <f t="shared" ca="1" si="48"/>
        <v>2472.6050002693387</v>
      </c>
      <c r="CL34" s="7">
        <f t="shared" ca="1" si="49"/>
        <v>601.42169656324097</v>
      </c>
      <c r="CM34" s="7">
        <f t="shared" ca="1" si="50"/>
        <v>25.97330316742028</v>
      </c>
      <c r="CN34" s="7">
        <f t="shared" ca="1" si="51"/>
        <v>2797.5761940553857</v>
      </c>
      <c r="CO34" s="7">
        <f t="shared" ca="1" si="52"/>
        <v>225.35542414081024</v>
      </c>
      <c r="CP34" s="7">
        <f t="shared" ca="1" si="53"/>
        <v>77.068381803804286</v>
      </c>
      <c r="CQ34" s="7">
        <f t="array" aca="1" ref="CQ34" ca="1">(SUM(IF($AV$5:$BA$5=CQ$5,$AV34:$BA34))*BU34+SUM(IF($AV$5:$BA$5="B",$AV34:$BA34))*BR34)*$Q34</f>
        <v>3006.3378979670783</v>
      </c>
      <c r="CR34" s="7">
        <f t="array" aca="1" ref="CR34" ca="1">(SUM(IF($AV$5:$BA$5=CR$5,$AV34:$BA34))*BV34+SUM(IF($AV$5:$BA$5="B",$AV34:$BA34))*BS34)*$Q34</f>
        <v>62.082239645237777</v>
      </c>
      <c r="CS34" s="7">
        <f t="array" aca="1" ref="CS34" ca="1">(SUM(IF($AV$5:$BA$5=CS$5,$AV34:$BA34))*BW34+SUM(IF($AV$5:$BA$5="B",$AV34:$BA34))*BT34)*$Q34</f>
        <v>31.579862387683548</v>
      </c>
      <c r="CT34" s="7">
        <f t="array" aca="1" ref="CT34" ca="1">(SUM(IF($BF$5:$BL$5=CT$5,IF($BF$4:$BL$4="B",$BF34:$BL34)))*BU34+SUM(IF($BF$5:$BL$5=CT$5,IF($BF$4:$BL$4=CT$4,$BF34:$BL34)))+SUM(IF($BF$5:$BL$5="B",$BF34:$BL34))*BZ34)*$Q34</f>
        <v>0</v>
      </c>
      <c r="CU34" s="7">
        <f t="array" aca="1" ref="CU34" ca="1">(SUM(IF($BF$5:$BL$5=CU$5,IF($BF$4:$BL$4="B",$BF34:$BL34)))*BV34+SUM(IF($BF$5:$BL$5=CU$5,IF($BF$4:$BL$4=CU$4,$BF34:$BL34)))+SUM(IF($BF$5:$BL$5="B",$BF34:$BL34))*CA34)*$Q34</f>
        <v>0</v>
      </c>
      <c r="CV34" s="7">
        <f t="array" aca="1" ref="CV34" ca="1">(SUM(IF($BF$5:$BL$5=CV$5,IF($BF$4:$BL$4="B",$BF34:$BL34)))*BW34+SUM(IF($BF$5:$BL$5=CV$5,IF($BF$4:$BL$4=CV$4,$BF34:$BL34)))+SUM(IF($BF$5:$BL$5="B",$BF34:$BL34))*CB34)*$Q34</f>
        <v>0</v>
      </c>
      <c r="CW34" s="7"/>
      <c r="CX34" s="9">
        <f t="shared" si="72"/>
        <v>3000</v>
      </c>
      <c r="CY34" s="9">
        <f t="shared" si="153"/>
        <v>-2905.8999253174011</v>
      </c>
      <c r="CZ34" s="9">
        <f t="shared" si="154"/>
        <v>94.100074682598915</v>
      </c>
      <c r="DA34" s="9">
        <f t="shared" si="75"/>
        <v>100</v>
      </c>
      <c r="DB34" s="9">
        <f t="shared" si="155"/>
        <v>-194.10007468259897</v>
      </c>
      <c r="DC34" s="9">
        <f t="shared" si="156"/>
        <v>-94.100074682598972</v>
      </c>
      <c r="DD34" s="9">
        <f t="shared" si="78"/>
        <v>3000</v>
      </c>
      <c r="DE34" s="9">
        <f t="shared" ca="1" si="54"/>
        <v>-2472.6050002693387</v>
      </c>
      <c r="DF34" s="9">
        <f t="shared" ca="1" si="157"/>
        <v>527.39499973066131</v>
      </c>
      <c r="DG34" s="9">
        <f t="shared" si="80"/>
        <v>100</v>
      </c>
      <c r="DH34" s="9">
        <f t="shared" ca="1" si="158"/>
        <v>-627.3949997306612</v>
      </c>
      <c r="DI34" s="9">
        <f t="shared" ca="1" si="159"/>
        <v>-527.3949997306612</v>
      </c>
      <c r="DJ34" s="9">
        <f t="shared" si="83"/>
        <v>3000</v>
      </c>
      <c r="DK34" s="9">
        <f t="shared" ca="1" si="55"/>
        <v>-2797.5761940553857</v>
      </c>
      <c r="DL34" s="9">
        <f t="shared" ca="1" si="160"/>
        <v>202.42380594461429</v>
      </c>
      <c r="DM34" s="9">
        <f t="shared" si="85"/>
        <v>100</v>
      </c>
      <c r="DN34" s="9">
        <f t="shared" ca="1" si="56"/>
        <v>-302.42380594461451</v>
      </c>
      <c r="DO34" s="9">
        <f t="shared" ca="1" si="161"/>
        <v>-202.42380594461451</v>
      </c>
      <c r="DP34" s="9">
        <f t="shared" si="87"/>
        <v>3000</v>
      </c>
      <c r="DQ34" s="9">
        <f t="shared" ca="1" si="57"/>
        <v>-3006.3378979670783</v>
      </c>
      <c r="DR34" s="9">
        <f t="shared" ca="1" si="162"/>
        <v>-6.3378979670783337</v>
      </c>
      <c r="DS34" s="9">
        <f t="shared" si="89"/>
        <v>100</v>
      </c>
      <c r="DT34" s="9">
        <f t="shared" ca="1" si="58"/>
        <v>-93.662102032921325</v>
      </c>
      <c r="DU34" s="9">
        <f t="shared" ca="1" si="163"/>
        <v>6.3378979670786748</v>
      </c>
    </row>
    <row r="35" spans="1:125" ht="14.45" x14ac:dyDescent="0.35">
      <c r="A35" s="16">
        <f t="shared" si="125"/>
        <v>600</v>
      </c>
      <c r="B35" s="14">
        <f t="shared" si="145"/>
        <v>100</v>
      </c>
      <c r="C35" s="9">
        <f t="shared" si="16"/>
        <v>100</v>
      </c>
      <c r="D35" s="14">
        <f t="shared" si="17"/>
        <v>102</v>
      </c>
      <c r="E35" s="34">
        <f t="shared" si="92"/>
        <v>220</v>
      </c>
      <c r="F35" s="15">
        <f t="shared" si="18"/>
        <v>100</v>
      </c>
      <c r="G35">
        <f t="shared" si="91"/>
        <v>10</v>
      </c>
      <c r="H35">
        <f t="shared" si="91"/>
        <v>1</v>
      </c>
      <c r="I35" s="5">
        <f>GenUnits!$V$12</f>
        <v>400</v>
      </c>
      <c r="J35" s="5">
        <f>GenUnits!$W$12</f>
        <v>122</v>
      </c>
      <c r="K35" s="14">
        <f t="shared" si="60"/>
        <v>102</v>
      </c>
      <c r="L35" s="14">
        <f t="shared" si="146"/>
        <v>400</v>
      </c>
      <c r="M35" s="14">
        <f t="shared" si="147"/>
        <v>122</v>
      </c>
      <c r="N35" s="34">
        <f>GenUnits!$V$11</f>
        <v>1297</v>
      </c>
      <c r="O35" s="34">
        <f>GenUnits!$W$11</f>
        <v>864</v>
      </c>
      <c r="P35" s="14">
        <f t="shared" si="19"/>
        <v>42</v>
      </c>
      <c r="Q35" s="14">
        <f t="shared" si="20"/>
        <v>1</v>
      </c>
      <c r="S35" s="7">
        <f t="shared" si="63"/>
        <v>300</v>
      </c>
      <c r="T35" s="7">
        <f t="shared" si="21"/>
        <v>100</v>
      </c>
      <c r="U35" s="7">
        <f t="shared" si="148"/>
        <v>400</v>
      </c>
      <c r="V35" s="7">
        <f t="shared" si="22"/>
        <v>3000</v>
      </c>
      <c r="W35" s="7">
        <f t="shared" si="23"/>
        <v>100</v>
      </c>
      <c r="X35" s="7">
        <f t="shared" si="149"/>
        <v>3100</v>
      </c>
      <c r="Y35" s="45"/>
      <c r="Z35" s="46"/>
      <c r="AA35" s="44">
        <f t="shared" si="66"/>
        <v>220</v>
      </c>
      <c r="AB35" s="7">
        <f t="shared" si="24"/>
        <v>278</v>
      </c>
      <c r="AC35" s="15">
        <f t="shared" si="25"/>
        <v>22</v>
      </c>
      <c r="AD35" s="8">
        <v>0</v>
      </c>
      <c r="AE35" s="15">
        <f t="shared" si="26"/>
        <v>0</v>
      </c>
      <c r="AF35" s="7">
        <f t="shared" si="67"/>
        <v>100</v>
      </c>
      <c r="AG35" s="7">
        <f t="shared" si="27"/>
        <v>0</v>
      </c>
      <c r="AH35" s="7">
        <f t="shared" si="150"/>
        <v>400</v>
      </c>
      <c r="AI35" s="7" t="b">
        <f t="shared" si="28"/>
        <v>1</v>
      </c>
      <c r="AJ35" s="7"/>
      <c r="AK35" s="7"/>
      <c r="AL35" s="7"/>
      <c r="AM35" s="7"/>
      <c r="AN35" s="7"/>
      <c r="AO35" s="7"/>
      <c r="AP35" s="7"/>
      <c r="AQ35" s="7"/>
      <c r="AR35" s="7"/>
      <c r="AS35" s="7"/>
      <c r="AT35" s="7"/>
      <c r="AU35" s="7"/>
      <c r="AV35" s="7">
        <f t="shared" si="29"/>
        <v>2780</v>
      </c>
      <c r="AW35" s="7">
        <f t="shared" si="30"/>
        <v>220</v>
      </c>
      <c r="AX35" s="7">
        <f t="shared" si="31"/>
        <v>0</v>
      </c>
      <c r="AY35" s="30">
        <f t="shared" si="32"/>
        <v>0</v>
      </c>
      <c r="AZ35" s="30">
        <f t="shared" si="33"/>
        <v>100</v>
      </c>
      <c r="BA35" s="30">
        <f t="shared" si="34"/>
        <v>0</v>
      </c>
      <c r="BB35" s="7">
        <f t="shared" si="151"/>
        <v>3100</v>
      </c>
      <c r="BC35" s="7" t="b">
        <f t="shared" si="35"/>
        <v>1</v>
      </c>
      <c r="BD35" s="7"/>
      <c r="BE35" s="7"/>
      <c r="BF35" s="7"/>
      <c r="BG35" s="7"/>
      <c r="BH35" s="7"/>
      <c r="BI35" s="7"/>
      <c r="BJ35" s="7"/>
      <c r="BK35" s="7"/>
      <c r="BL35" s="7"/>
      <c r="BM35" s="7"/>
      <c r="BN35" s="7"/>
      <c r="BO35" s="7"/>
      <c r="BP35" s="7">
        <f>MATCH($A35,GenUnits!$AX$43:$AX$48,1)</f>
        <v>2</v>
      </c>
      <c r="BQ35" s="7"/>
      <c r="BR35" s="2">
        <f t="shared" ca="1" si="36"/>
        <v>0.79761451621591573</v>
      </c>
      <c r="BS35" s="2">
        <f t="shared" ca="1" si="37"/>
        <v>0.19400699889136805</v>
      </c>
      <c r="BT35" s="2">
        <f t="shared" ca="1" si="38"/>
        <v>8.3784848927162189E-3</v>
      </c>
      <c r="BU35" s="59">
        <f t="shared" ca="1" si="39"/>
        <v>0.98960476718632573</v>
      </c>
      <c r="BV35" s="59">
        <f t="shared" ca="1" si="40"/>
        <v>1</v>
      </c>
      <c r="BW35" s="59">
        <f t="shared" ca="1" si="41"/>
        <v>1.0395232813674229E-2</v>
      </c>
      <c r="BX35" s="2">
        <f t="shared" si="42"/>
        <v>0.25</v>
      </c>
      <c r="BY35" s="2">
        <f t="shared" si="43"/>
        <v>0.18032786885245902</v>
      </c>
      <c r="BZ35" s="60">
        <f t="shared" ca="1" si="44"/>
        <v>0.80435378222871823</v>
      </c>
      <c r="CA35" s="60">
        <f t="shared" ca="1" si="45"/>
        <v>0.1956462177712818</v>
      </c>
      <c r="CB35" s="52">
        <v>0</v>
      </c>
      <c r="CC35" s="2"/>
      <c r="CD35" s="7"/>
      <c r="CE35" s="7"/>
      <c r="CF35" s="7"/>
      <c r="CG35" s="7">
        <f t="shared" si="46"/>
        <v>220</v>
      </c>
      <c r="CH35" s="9">
        <f t="shared" si="152"/>
        <v>2905.8999253174011</v>
      </c>
      <c r="CI35" s="7">
        <f t="shared" si="71"/>
        <v>100</v>
      </c>
      <c r="CJ35" s="9">
        <f t="shared" si="47"/>
        <v>94.100074682598958</v>
      </c>
      <c r="CK35" s="7">
        <f t="shared" ca="1" si="48"/>
        <v>2472.6050002693387</v>
      </c>
      <c r="CL35" s="7">
        <f t="shared" ca="1" si="49"/>
        <v>601.42169656324097</v>
      </c>
      <c r="CM35" s="7">
        <f t="shared" ca="1" si="50"/>
        <v>25.97330316742028</v>
      </c>
      <c r="CN35" s="7">
        <f t="shared" ca="1" si="51"/>
        <v>2797.5761940553857</v>
      </c>
      <c r="CO35" s="7">
        <f t="shared" ca="1" si="52"/>
        <v>225.35542414081024</v>
      </c>
      <c r="CP35" s="7">
        <f t="shared" ca="1" si="53"/>
        <v>77.068381803804286</v>
      </c>
      <c r="CQ35" s="7">
        <f t="array" aca="1" ref="CQ35" ca="1">(SUM(IF($AV$5:$BA$5=CQ$5,$AV35:$BA35))*BU35+SUM(IF($AV$5:$BA$5="B",$AV35:$BA35))*BR35)*$Q35</f>
        <v>3006.3378979670783</v>
      </c>
      <c r="CR35" s="7">
        <f t="array" aca="1" ref="CR35" ca="1">(SUM(IF($AV$5:$BA$5=CR$5,$AV35:$BA35))*BV35+SUM(IF($AV$5:$BA$5="B",$AV35:$BA35))*BS35)*$Q35</f>
        <v>62.082239645237777</v>
      </c>
      <c r="CS35" s="7">
        <f t="array" aca="1" ref="CS35" ca="1">(SUM(IF($AV$5:$BA$5=CS$5,$AV35:$BA35))*BW35+SUM(IF($AV$5:$BA$5="B",$AV35:$BA35))*BT35)*$Q35</f>
        <v>31.579862387683548</v>
      </c>
      <c r="CT35" s="7">
        <f t="array" aca="1" ref="CT35" ca="1">(SUM(IF($BF$5:$BL$5=CT$5,IF($BF$4:$BL$4="B",$BF35:$BL35)))*BU35+SUM(IF($BF$5:$BL$5=CT$5,IF($BF$4:$BL$4=CT$4,$BF35:$BL35)))+SUM(IF($BF$5:$BL$5="B",$BF35:$BL35))*BZ35)*$Q35</f>
        <v>0</v>
      </c>
      <c r="CU35" s="7">
        <f t="array" aca="1" ref="CU35" ca="1">(SUM(IF($BF$5:$BL$5=CU$5,IF($BF$4:$BL$4="B",$BF35:$BL35)))*BV35+SUM(IF($BF$5:$BL$5=CU$5,IF($BF$4:$BL$4=CU$4,$BF35:$BL35)))+SUM(IF($BF$5:$BL$5="B",$BF35:$BL35))*CA35)*$Q35</f>
        <v>0</v>
      </c>
      <c r="CV35" s="7">
        <f t="array" aca="1" ref="CV35" ca="1">(SUM(IF($BF$5:$BL$5=CV$5,IF($BF$4:$BL$4="B",$BF35:$BL35)))*BW35+SUM(IF($BF$5:$BL$5=CV$5,IF($BF$4:$BL$4=CV$4,$BF35:$BL35)))+SUM(IF($BF$5:$BL$5="B",$BF35:$BL35))*CB35)*$Q35</f>
        <v>0</v>
      </c>
      <c r="CW35" s="7"/>
      <c r="CX35" s="9">
        <f t="shared" si="72"/>
        <v>3000</v>
      </c>
      <c r="CY35" s="9">
        <f t="shared" si="153"/>
        <v>-2905.8999253174011</v>
      </c>
      <c r="CZ35" s="9">
        <f t="shared" si="154"/>
        <v>94.100074682598915</v>
      </c>
      <c r="DA35" s="9">
        <f t="shared" si="75"/>
        <v>100</v>
      </c>
      <c r="DB35" s="9">
        <f t="shared" si="155"/>
        <v>-194.10007468259897</v>
      </c>
      <c r="DC35" s="9">
        <f t="shared" si="156"/>
        <v>-94.100074682598972</v>
      </c>
      <c r="DD35" s="9">
        <f t="shared" si="78"/>
        <v>3000</v>
      </c>
      <c r="DE35" s="9">
        <f t="shared" ca="1" si="54"/>
        <v>-2472.6050002693387</v>
      </c>
      <c r="DF35" s="9">
        <f t="shared" ca="1" si="157"/>
        <v>527.39499973066131</v>
      </c>
      <c r="DG35" s="9">
        <f t="shared" si="80"/>
        <v>100</v>
      </c>
      <c r="DH35" s="9">
        <f t="shared" ca="1" si="158"/>
        <v>-627.3949997306612</v>
      </c>
      <c r="DI35" s="9">
        <f t="shared" ca="1" si="159"/>
        <v>-527.3949997306612</v>
      </c>
      <c r="DJ35" s="9">
        <f t="shared" si="83"/>
        <v>3000</v>
      </c>
      <c r="DK35" s="9">
        <f t="shared" ca="1" si="55"/>
        <v>-2797.5761940553857</v>
      </c>
      <c r="DL35" s="9">
        <f t="shared" ca="1" si="160"/>
        <v>202.42380594461429</v>
      </c>
      <c r="DM35" s="9">
        <f t="shared" si="85"/>
        <v>100</v>
      </c>
      <c r="DN35" s="9">
        <f t="shared" ca="1" si="56"/>
        <v>-302.42380594461451</v>
      </c>
      <c r="DO35" s="9">
        <f t="shared" ca="1" si="161"/>
        <v>-202.42380594461451</v>
      </c>
      <c r="DP35" s="9">
        <f t="shared" si="87"/>
        <v>3000</v>
      </c>
      <c r="DQ35" s="9">
        <f t="shared" ca="1" si="57"/>
        <v>-3006.3378979670783</v>
      </c>
      <c r="DR35" s="9">
        <f t="shared" ca="1" si="162"/>
        <v>-6.3378979670783337</v>
      </c>
      <c r="DS35" s="9">
        <f t="shared" si="89"/>
        <v>100</v>
      </c>
      <c r="DT35" s="9">
        <f t="shared" ca="1" si="58"/>
        <v>-93.662102032921325</v>
      </c>
      <c r="DU35" s="9">
        <f t="shared" ca="1" si="163"/>
        <v>6.3378979670786748</v>
      </c>
    </row>
    <row r="36" spans="1:125" ht="14.45" x14ac:dyDescent="0.35">
      <c r="A36" s="16">
        <f t="shared" si="125"/>
        <v>800</v>
      </c>
      <c r="B36" s="14">
        <f t="shared" si="145"/>
        <v>100</v>
      </c>
      <c r="C36" s="9">
        <f t="shared" si="16"/>
        <v>100</v>
      </c>
      <c r="D36" s="14">
        <f t="shared" si="17"/>
        <v>302</v>
      </c>
      <c r="E36" s="34">
        <f t="shared" si="92"/>
        <v>0</v>
      </c>
      <c r="F36" s="15">
        <f t="shared" si="18"/>
        <v>0</v>
      </c>
      <c r="G36">
        <f t="shared" si="91"/>
        <v>10</v>
      </c>
      <c r="H36">
        <f t="shared" si="91"/>
        <v>1</v>
      </c>
      <c r="I36" s="5">
        <f>GenUnits!$V$12</f>
        <v>400</v>
      </c>
      <c r="J36" s="5">
        <f>GenUnits!$W$12</f>
        <v>122</v>
      </c>
      <c r="K36" s="14">
        <f t="shared" si="60"/>
        <v>302</v>
      </c>
      <c r="L36" s="14">
        <f t="shared" si="146"/>
        <v>400</v>
      </c>
      <c r="M36" s="14">
        <f t="shared" si="147"/>
        <v>122</v>
      </c>
      <c r="N36" s="34">
        <f>GenUnits!$V$11</f>
        <v>1297</v>
      </c>
      <c r="O36" s="34">
        <f>GenUnits!$W$11</f>
        <v>864</v>
      </c>
      <c r="P36" s="14">
        <f t="shared" si="19"/>
        <v>242</v>
      </c>
      <c r="Q36" s="14">
        <f t="shared" si="20"/>
        <v>1</v>
      </c>
      <c r="S36" s="7">
        <f t="shared" si="63"/>
        <v>400</v>
      </c>
      <c r="T36" s="7">
        <f t="shared" si="21"/>
        <v>22</v>
      </c>
      <c r="U36" s="7">
        <f t="shared" si="148"/>
        <v>422</v>
      </c>
      <c r="V36" s="7">
        <f t="shared" si="22"/>
        <v>4000</v>
      </c>
      <c r="W36" s="7">
        <f t="shared" si="23"/>
        <v>22</v>
      </c>
      <c r="X36" s="7">
        <f t="shared" si="149"/>
        <v>4022</v>
      </c>
      <c r="Y36" s="45"/>
      <c r="Z36" s="46" t="str">
        <f>$D36&amp;" MW"</f>
        <v>302 MW</v>
      </c>
      <c r="AA36" s="44">
        <f t="shared" si="66"/>
        <v>0</v>
      </c>
      <c r="AB36" s="7">
        <f t="shared" si="24"/>
        <v>300</v>
      </c>
      <c r="AC36" s="15">
        <f t="shared" si="25"/>
        <v>100</v>
      </c>
      <c r="AD36" s="8">
        <v>0</v>
      </c>
      <c r="AE36" s="15">
        <f t="shared" si="26"/>
        <v>0</v>
      </c>
      <c r="AF36" s="7">
        <f t="shared" si="67"/>
        <v>0</v>
      </c>
      <c r="AG36" s="7">
        <f t="shared" si="27"/>
        <v>22</v>
      </c>
      <c r="AH36" s="7">
        <f t="shared" si="150"/>
        <v>422</v>
      </c>
      <c r="AI36" s="7" t="b">
        <f t="shared" si="28"/>
        <v>1</v>
      </c>
      <c r="AJ36" s="7"/>
      <c r="AK36" s="7"/>
      <c r="AL36" s="7"/>
      <c r="AM36" s="7"/>
      <c r="AN36" s="7"/>
      <c r="AO36" s="7"/>
      <c r="AP36" s="7"/>
      <c r="AQ36" s="7"/>
      <c r="AR36" s="7"/>
      <c r="AS36" s="7"/>
      <c r="AT36" s="7"/>
      <c r="AU36" s="7"/>
      <c r="AV36" s="7">
        <f t="shared" si="29"/>
        <v>3000</v>
      </c>
      <c r="AW36" s="7">
        <f t="shared" si="30"/>
        <v>1000</v>
      </c>
      <c r="AX36" s="7">
        <f t="shared" si="31"/>
        <v>0</v>
      </c>
      <c r="AY36" s="30">
        <f t="shared" si="32"/>
        <v>0</v>
      </c>
      <c r="AZ36" s="30">
        <f t="shared" si="33"/>
        <v>0</v>
      </c>
      <c r="BA36" s="30">
        <f t="shared" si="34"/>
        <v>22</v>
      </c>
      <c r="BB36" s="7">
        <f t="shared" si="151"/>
        <v>4022</v>
      </c>
      <c r="BC36" s="7" t="b">
        <f t="shared" si="35"/>
        <v>1</v>
      </c>
      <c r="BD36" s="7"/>
      <c r="BE36" s="7"/>
      <c r="BF36" s="7"/>
      <c r="BG36" s="7"/>
      <c r="BH36" s="7"/>
      <c r="BI36" s="7"/>
      <c r="BJ36" s="7"/>
      <c r="BK36" s="7"/>
      <c r="BL36" s="7"/>
      <c r="BM36" s="7"/>
      <c r="BN36" s="7"/>
      <c r="BO36" s="7"/>
      <c r="BP36" s="7">
        <f>MATCH($A36,GenUnits!$AX$43:$AX$48,1)</f>
        <v>4</v>
      </c>
      <c r="BQ36" s="7"/>
      <c r="BR36" s="2">
        <f t="shared" ca="1" si="36"/>
        <v>0.6902169860500027</v>
      </c>
      <c r="BS36" s="2">
        <f t="shared" ca="1" si="37"/>
        <v>0.19182986842379629</v>
      </c>
      <c r="BT36" s="2">
        <f t="shared" ca="1" si="38"/>
        <v>0.11795314552620097</v>
      </c>
      <c r="BU36" s="59">
        <f t="shared" ca="1" si="39"/>
        <v>0.85404911550473583</v>
      </c>
      <c r="BV36" s="59">
        <f t="shared" ca="1" si="40"/>
        <v>1</v>
      </c>
      <c r="BW36" s="59">
        <f t="shared" ca="1" si="41"/>
        <v>0.14595088449526419</v>
      </c>
      <c r="BX36" s="2">
        <f t="shared" si="42"/>
        <v>0.23696682464454977</v>
      </c>
      <c r="BY36" s="2">
        <f t="shared" si="43"/>
        <v>1</v>
      </c>
      <c r="BZ36" s="60">
        <f t="shared" ca="1" si="44"/>
        <v>0.78251737144027811</v>
      </c>
      <c r="CA36" s="60">
        <f t="shared" ca="1" si="45"/>
        <v>0.21748262855972189</v>
      </c>
      <c r="CB36" s="52">
        <v>0</v>
      </c>
      <c r="CC36" s="2"/>
      <c r="CD36" s="7"/>
      <c r="CE36" s="7"/>
      <c r="CF36" s="7"/>
      <c r="CG36" s="7">
        <f t="shared" si="46"/>
        <v>0</v>
      </c>
      <c r="CH36" s="9">
        <f t="shared" si="152"/>
        <v>3371.0201429499675</v>
      </c>
      <c r="CI36" s="7">
        <f t="shared" si="71"/>
        <v>22</v>
      </c>
      <c r="CJ36" s="9">
        <f t="shared" si="47"/>
        <v>628.97985705003248</v>
      </c>
      <c r="CK36" s="7">
        <f t="shared" ca="1" si="48"/>
        <v>2776.0527178931106</v>
      </c>
      <c r="CL36" s="7">
        <f t="shared" ca="1" si="49"/>
        <v>771.53973080050866</v>
      </c>
      <c r="CM36" s="7">
        <f t="shared" ca="1" si="50"/>
        <v>474.4075513063803</v>
      </c>
      <c r="CN36" s="7">
        <f t="shared" ca="1" si="51"/>
        <v>3230.0326014673001</v>
      </c>
      <c r="CO36" s="7">
        <f t="shared" ca="1" si="52"/>
        <v>199.61604995272717</v>
      </c>
      <c r="CP36" s="7">
        <f t="shared" ca="1" si="53"/>
        <v>592.35134857997264</v>
      </c>
      <c r="CQ36" s="7">
        <f t="array" aca="1" ref="CQ36" ca="1">(SUM(IF($AV$5:$BA$5=CQ$5,$AV36:$BA36))*BU36+SUM(IF($AV$5:$BA$5="B",$AV36:$BA36))*BR36)*$Q36</f>
        <v>3252.3643325642101</v>
      </c>
      <c r="CR36" s="7">
        <f t="array" aca="1" ref="CR36" ca="1">(SUM(IF($AV$5:$BA$5=CR$5,$AV36:$BA36))*BV36+SUM(IF($AV$5:$BA$5="B",$AV36:$BA36))*BS36)*$Q36</f>
        <v>213.82986842379628</v>
      </c>
      <c r="CS36" s="7">
        <f t="array" aca="1" ref="CS36" ca="1">(SUM(IF($AV$5:$BA$5=CS$5,$AV36:$BA36))*BW36+SUM(IF($AV$5:$BA$5="B",$AV36:$BA36))*BT36)*$Q36</f>
        <v>555.8057990119936</v>
      </c>
      <c r="CT36" s="7">
        <f t="array" aca="1" ref="CT36" ca="1">(SUM(IF($BF$5:$BL$5=CT$5,IF($BF$4:$BL$4="B",$BF36:$BL36)))*BU36+SUM(IF($BF$5:$BL$5=CT$5,IF($BF$4:$BL$4=CT$4,$BF36:$BL36)))+SUM(IF($BF$5:$BL$5="B",$BF36:$BL36))*BZ36)*$Q36</f>
        <v>0</v>
      </c>
      <c r="CU36" s="7">
        <f t="array" aca="1" ref="CU36" ca="1">(SUM(IF($BF$5:$BL$5=CU$5,IF($BF$4:$BL$4="B",$BF36:$BL36)))*BV36+SUM(IF($BF$5:$BL$5=CU$5,IF($BF$4:$BL$4=CU$4,$BF36:$BL36)))+SUM(IF($BF$5:$BL$5="B",$BF36:$BL36))*CA36)*$Q36</f>
        <v>0</v>
      </c>
      <c r="CV36" s="7">
        <f t="array" aca="1" ref="CV36" ca="1">(SUM(IF($BF$5:$BL$5=CV$5,IF($BF$4:$BL$4="B",$BF36:$BL36)))*BW36+SUM(IF($BF$5:$BL$5=CV$5,IF($BF$4:$BL$4=CV$4,$BF36:$BL36)))+SUM(IF($BF$5:$BL$5="B",$BF36:$BL36))*CB36)*$Q36</f>
        <v>0</v>
      </c>
      <c r="CW36" s="7"/>
      <c r="CX36" s="9">
        <f t="shared" si="72"/>
        <v>4000</v>
      </c>
      <c r="CY36" s="9">
        <f t="shared" si="153"/>
        <v>-3371.0201429499675</v>
      </c>
      <c r="CZ36" s="9">
        <f t="shared" si="154"/>
        <v>628.97985705003248</v>
      </c>
      <c r="DA36" s="9">
        <f t="shared" si="75"/>
        <v>22</v>
      </c>
      <c r="DB36" s="9">
        <f t="shared" si="155"/>
        <v>-650.97985705003248</v>
      </c>
      <c r="DC36" s="9">
        <f t="shared" si="156"/>
        <v>-628.97985705003248</v>
      </c>
      <c r="DD36" s="9">
        <f t="shared" si="78"/>
        <v>4000</v>
      </c>
      <c r="DE36" s="9">
        <f t="shared" ca="1" si="54"/>
        <v>-2776.0527178931106</v>
      </c>
      <c r="DF36" s="9">
        <f t="shared" ca="1" si="157"/>
        <v>1223.9472821068894</v>
      </c>
      <c r="DG36" s="9">
        <f t="shared" si="80"/>
        <v>22</v>
      </c>
      <c r="DH36" s="9">
        <f t="shared" ca="1" si="158"/>
        <v>-1245.9472821068889</v>
      </c>
      <c r="DI36" s="9">
        <f t="shared" ca="1" si="159"/>
        <v>-1223.9472821068889</v>
      </c>
      <c r="DJ36" s="9">
        <f t="shared" si="83"/>
        <v>4000</v>
      </c>
      <c r="DK36" s="9">
        <f t="shared" ca="1" si="55"/>
        <v>-3230.0326014673001</v>
      </c>
      <c r="DL36" s="9">
        <f t="shared" ca="1" si="160"/>
        <v>769.96739853269992</v>
      </c>
      <c r="DM36" s="9">
        <f t="shared" si="85"/>
        <v>22</v>
      </c>
      <c r="DN36" s="9">
        <f t="shared" ca="1" si="56"/>
        <v>-791.9673985326998</v>
      </c>
      <c r="DO36" s="9">
        <f t="shared" ca="1" si="161"/>
        <v>-769.9673985326998</v>
      </c>
      <c r="DP36" s="9">
        <f t="shared" si="87"/>
        <v>4000</v>
      </c>
      <c r="DQ36" s="9">
        <f t="shared" ca="1" si="57"/>
        <v>-3252.3643325642101</v>
      </c>
      <c r="DR36" s="9">
        <f t="shared" ca="1" si="162"/>
        <v>747.63566743578986</v>
      </c>
      <c r="DS36" s="9">
        <f t="shared" si="89"/>
        <v>22</v>
      </c>
      <c r="DT36" s="9">
        <f t="shared" ca="1" si="58"/>
        <v>-769.63566743578986</v>
      </c>
      <c r="DU36" s="9">
        <f t="shared" ca="1" si="163"/>
        <v>-747.63566743578986</v>
      </c>
    </row>
    <row r="37" spans="1:125" ht="14.45" x14ac:dyDescent="0.35">
      <c r="A37" s="16">
        <f t="shared" si="125"/>
        <v>800</v>
      </c>
      <c r="B37" s="14">
        <f t="shared" si="145"/>
        <v>100</v>
      </c>
      <c r="C37" s="9">
        <f t="shared" si="16"/>
        <v>100</v>
      </c>
      <c r="D37" s="14">
        <f t="shared" si="17"/>
        <v>302</v>
      </c>
      <c r="E37" s="34">
        <f t="shared" si="92"/>
        <v>10</v>
      </c>
      <c r="F37" s="15">
        <f t="shared" si="18"/>
        <v>10</v>
      </c>
      <c r="G37">
        <f t="shared" si="91"/>
        <v>10</v>
      </c>
      <c r="H37">
        <f t="shared" si="91"/>
        <v>1</v>
      </c>
      <c r="I37" s="5">
        <f>GenUnits!$V$12</f>
        <v>400</v>
      </c>
      <c r="J37" s="5">
        <f>GenUnits!$W$12</f>
        <v>122</v>
      </c>
      <c r="K37" s="14">
        <f t="shared" si="60"/>
        <v>302</v>
      </c>
      <c r="L37" s="14">
        <f t="shared" si="146"/>
        <v>400</v>
      </c>
      <c r="M37" s="14">
        <f t="shared" si="147"/>
        <v>122</v>
      </c>
      <c r="N37" s="34">
        <f>GenUnits!$V$11</f>
        <v>1297</v>
      </c>
      <c r="O37" s="34">
        <f>GenUnits!$W$11</f>
        <v>864</v>
      </c>
      <c r="P37" s="14">
        <f t="shared" si="19"/>
        <v>242</v>
      </c>
      <c r="Q37" s="14">
        <f t="shared" si="20"/>
        <v>1</v>
      </c>
      <c r="S37" s="7">
        <f t="shared" si="63"/>
        <v>390</v>
      </c>
      <c r="T37" s="7">
        <f t="shared" si="21"/>
        <v>22</v>
      </c>
      <c r="U37" s="7">
        <f t="shared" si="148"/>
        <v>412</v>
      </c>
      <c r="V37" s="7">
        <f t="shared" si="22"/>
        <v>3900</v>
      </c>
      <c r="W37" s="7">
        <f t="shared" si="23"/>
        <v>22</v>
      </c>
      <c r="X37" s="7">
        <f t="shared" si="149"/>
        <v>3922</v>
      </c>
      <c r="Y37" s="45"/>
      <c r="Z37" s="46"/>
      <c r="AA37" s="44">
        <f t="shared" si="66"/>
        <v>10</v>
      </c>
      <c r="AB37" s="7">
        <f t="shared" si="24"/>
        <v>290</v>
      </c>
      <c r="AC37" s="15">
        <f t="shared" si="25"/>
        <v>100</v>
      </c>
      <c r="AD37" s="8">
        <v>0</v>
      </c>
      <c r="AE37" s="15">
        <f t="shared" si="26"/>
        <v>0</v>
      </c>
      <c r="AF37" s="7">
        <f t="shared" si="67"/>
        <v>10</v>
      </c>
      <c r="AG37" s="7">
        <f t="shared" si="27"/>
        <v>12</v>
      </c>
      <c r="AH37" s="7">
        <f t="shared" si="150"/>
        <v>412</v>
      </c>
      <c r="AI37" s="7" t="b">
        <f t="shared" si="28"/>
        <v>1</v>
      </c>
      <c r="AJ37" s="7"/>
      <c r="AK37" s="7"/>
      <c r="AL37" s="7"/>
      <c r="AM37" s="7"/>
      <c r="AN37" s="7"/>
      <c r="AO37" s="7"/>
      <c r="AP37" s="7"/>
      <c r="AQ37" s="7"/>
      <c r="AR37" s="7"/>
      <c r="AS37" s="7"/>
      <c r="AT37" s="7"/>
      <c r="AU37" s="7"/>
      <c r="AV37" s="7">
        <f t="shared" si="29"/>
        <v>2900</v>
      </c>
      <c r="AW37" s="7">
        <f t="shared" si="30"/>
        <v>1000</v>
      </c>
      <c r="AX37" s="7">
        <f t="shared" si="31"/>
        <v>0</v>
      </c>
      <c r="AY37" s="30">
        <f t="shared" si="32"/>
        <v>0</v>
      </c>
      <c r="AZ37" s="30">
        <f t="shared" si="33"/>
        <v>10</v>
      </c>
      <c r="BA37" s="30">
        <f t="shared" si="34"/>
        <v>12</v>
      </c>
      <c r="BB37" s="7">
        <f t="shared" si="151"/>
        <v>3922</v>
      </c>
      <c r="BC37" s="7" t="b">
        <f t="shared" si="35"/>
        <v>1</v>
      </c>
      <c r="BD37" s="7"/>
      <c r="BE37" s="7"/>
      <c r="BF37" s="7"/>
      <c r="BG37" s="7"/>
      <c r="BH37" s="7"/>
      <c r="BI37" s="7"/>
      <c r="BJ37" s="7"/>
      <c r="BK37" s="7"/>
      <c r="BL37" s="7"/>
      <c r="BM37" s="7"/>
      <c r="BN37" s="7"/>
      <c r="BO37" s="7"/>
      <c r="BP37" s="7">
        <f>MATCH($A37,GenUnits!$AX$43:$AX$48,1)</f>
        <v>4</v>
      </c>
      <c r="BQ37" s="7"/>
      <c r="BR37" s="2">
        <f t="shared" ca="1" si="36"/>
        <v>0.6902169860500027</v>
      </c>
      <c r="BS37" s="2">
        <f t="shared" ca="1" si="37"/>
        <v>0.19182986842379629</v>
      </c>
      <c r="BT37" s="2">
        <f t="shared" ca="1" si="38"/>
        <v>0.11795314552620097</v>
      </c>
      <c r="BU37" s="59">
        <f t="shared" ca="1" si="39"/>
        <v>0.85404911550473583</v>
      </c>
      <c r="BV37" s="59">
        <f t="shared" ca="1" si="40"/>
        <v>1</v>
      </c>
      <c r="BW37" s="59">
        <f t="shared" ca="1" si="41"/>
        <v>0.14595088449526419</v>
      </c>
      <c r="BX37" s="2">
        <f t="shared" si="42"/>
        <v>0.24271844660194175</v>
      </c>
      <c r="BY37" s="2">
        <f t="shared" si="43"/>
        <v>0.91803278688524592</v>
      </c>
      <c r="BZ37" s="60">
        <f t="shared" ca="1" si="44"/>
        <v>0.78251737144027811</v>
      </c>
      <c r="CA37" s="60">
        <f t="shared" ca="1" si="45"/>
        <v>0.21748262855972189</v>
      </c>
      <c r="CB37" s="52">
        <v>0</v>
      </c>
      <c r="CC37" s="2"/>
      <c r="CD37" s="7"/>
      <c r="CE37" s="7"/>
      <c r="CF37" s="7"/>
      <c r="CG37" s="7">
        <f t="shared" si="46"/>
        <v>10</v>
      </c>
      <c r="CH37" s="9">
        <f t="shared" si="152"/>
        <v>3286.7446393762184</v>
      </c>
      <c r="CI37" s="7">
        <f t="shared" si="71"/>
        <v>22</v>
      </c>
      <c r="CJ37" s="9">
        <f t="shared" si="47"/>
        <v>613.25536062378171</v>
      </c>
      <c r="CK37" s="7">
        <f t="shared" ca="1" si="48"/>
        <v>2707.0310192881107</v>
      </c>
      <c r="CL37" s="7">
        <f t="shared" ca="1" si="49"/>
        <v>752.35674395812907</v>
      </c>
      <c r="CM37" s="7">
        <f t="shared" ca="1" si="50"/>
        <v>462.61223675376021</v>
      </c>
      <c r="CN37" s="7">
        <f t="shared" ca="1" si="51"/>
        <v>3146.0374500344446</v>
      </c>
      <c r="CO37" s="7">
        <f t="shared" ca="1" si="52"/>
        <v>199.27105435876919</v>
      </c>
      <c r="CP37" s="7">
        <f t="shared" ca="1" si="53"/>
        <v>576.69149560678625</v>
      </c>
      <c r="CQ37" s="7">
        <f t="array" aca="1" ref="CQ37" ca="1">(SUM(IF($AV$5:$BA$5=CQ$5,$AV37:$BA37))*BU37+SUM(IF($AV$5:$BA$5="B",$AV37:$BA37))*BR37)*$Q37</f>
        <v>3173.8615908742368</v>
      </c>
      <c r="CR37" s="7">
        <f t="array" aca="1" ref="CR37" ca="1">(SUM(IF($AV$5:$BA$5=CR$5,$AV37:$BA37))*BV37+SUM(IF($AV$5:$BA$5="B",$AV37:$BA37))*BS37)*$Q37</f>
        <v>205.74816710803427</v>
      </c>
      <c r="CS37" s="7">
        <f t="array" aca="1" ref="CS37" ca="1">(SUM(IF($AV$5:$BA$5=CS$5,$AV37:$BA37))*BW37+SUM(IF($AV$5:$BA$5="B",$AV37:$BA37))*BT37)*$Q37</f>
        <v>542.39024201772918</v>
      </c>
      <c r="CT37" s="7">
        <f t="array" aca="1" ref="CT37" ca="1">(SUM(IF($BF$5:$BL$5=CT$5,IF($BF$4:$BL$4="B",$BF37:$BL37)))*BU37+SUM(IF($BF$5:$BL$5=CT$5,IF($BF$4:$BL$4=CT$4,$BF37:$BL37)))+SUM(IF($BF$5:$BL$5="B",$BF37:$BL37))*BZ37)*$Q37</f>
        <v>0</v>
      </c>
      <c r="CU37" s="7">
        <f t="array" aca="1" ref="CU37" ca="1">(SUM(IF($BF$5:$BL$5=CU$5,IF($BF$4:$BL$4="B",$BF37:$BL37)))*BV37+SUM(IF($BF$5:$BL$5=CU$5,IF($BF$4:$BL$4=CU$4,$BF37:$BL37)))+SUM(IF($BF$5:$BL$5="B",$BF37:$BL37))*CA37)*$Q37</f>
        <v>0</v>
      </c>
      <c r="CV37" s="7">
        <f t="array" aca="1" ref="CV37" ca="1">(SUM(IF($BF$5:$BL$5=CV$5,IF($BF$4:$BL$4="B",$BF37:$BL37)))*BW37+SUM(IF($BF$5:$BL$5=CV$5,IF($BF$4:$BL$4=CV$4,$BF37:$BL37)))+SUM(IF($BF$5:$BL$5="B",$BF37:$BL37))*CB37)*$Q37</f>
        <v>0</v>
      </c>
      <c r="CW37" s="7"/>
      <c r="CX37" s="9">
        <f t="shared" si="72"/>
        <v>3900</v>
      </c>
      <c r="CY37" s="9">
        <f t="shared" si="153"/>
        <v>-3286.7446393762184</v>
      </c>
      <c r="CZ37" s="9">
        <f t="shared" si="154"/>
        <v>613.2553606237816</v>
      </c>
      <c r="DA37" s="9">
        <f t="shared" si="75"/>
        <v>22</v>
      </c>
      <c r="DB37" s="9">
        <f t="shared" si="155"/>
        <v>-635.25536062378171</v>
      </c>
      <c r="DC37" s="9">
        <f t="shared" si="156"/>
        <v>-613.25536062378171</v>
      </c>
      <c r="DD37" s="9">
        <f t="shared" si="78"/>
        <v>3900</v>
      </c>
      <c r="DE37" s="9">
        <f t="shared" ca="1" si="54"/>
        <v>-2707.0310192881107</v>
      </c>
      <c r="DF37" s="9">
        <f t="shared" ca="1" si="157"/>
        <v>1192.9689807118893</v>
      </c>
      <c r="DG37" s="9">
        <f t="shared" si="80"/>
        <v>22</v>
      </c>
      <c r="DH37" s="9">
        <f t="shared" ca="1" si="158"/>
        <v>-1214.9689807118893</v>
      </c>
      <c r="DI37" s="9">
        <f t="shared" ca="1" si="159"/>
        <v>-1192.9689807118893</v>
      </c>
      <c r="DJ37" s="9">
        <f t="shared" si="83"/>
        <v>3900</v>
      </c>
      <c r="DK37" s="9">
        <f t="shared" ca="1" si="55"/>
        <v>-3146.0374500344446</v>
      </c>
      <c r="DL37" s="9">
        <f t="shared" ca="1" si="160"/>
        <v>753.96254996555535</v>
      </c>
      <c r="DM37" s="9">
        <f t="shared" si="85"/>
        <v>22</v>
      </c>
      <c r="DN37" s="9">
        <f t="shared" ca="1" si="56"/>
        <v>-775.96254996555547</v>
      </c>
      <c r="DO37" s="9">
        <f t="shared" ca="1" si="161"/>
        <v>-753.96254996555547</v>
      </c>
      <c r="DP37" s="9">
        <f t="shared" si="87"/>
        <v>3900</v>
      </c>
      <c r="DQ37" s="9">
        <f t="shared" ca="1" si="57"/>
        <v>-3173.8615908742368</v>
      </c>
      <c r="DR37" s="9">
        <f t="shared" ca="1" si="162"/>
        <v>726.13840912576325</v>
      </c>
      <c r="DS37" s="9">
        <f t="shared" si="89"/>
        <v>22</v>
      </c>
      <c r="DT37" s="9">
        <f t="shared" ca="1" si="58"/>
        <v>-748.13840912576347</v>
      </c>
      <c r="DU37" s="9">
        <f t="shared" ca="1" si="163"/>
        <v>-726.13840912576347</v>
      </c>
    </row>
    <row r="38" spans="1:125" ht="14.45" x14ac:dyDescent="0.35">
      <c r="A38" s="16">
        <f t="shared" si="125"/>
        <v>800</v>
      </c>
      <c r="B38" s="14">
        <f t="shared" si="145"/>
        <v>100</v>
      </c>
      <c r="C38" s="9">
        <f t="shared" si="16"/>
        <v>100</v>
      </c>
      <c r="D38" s="14">
        <f t="shared" si="17"/>
        <v>302</v>
      </c>
      <c r="E38" s="34">
        <f t="shared" si="92"/>
        <v>100</v>
      </c>
      <c r="F38" s="15">
        <f>MIN(E38,MAX(-$B38,I38-K38),$C38)</f>
        <v>98</v>
      </c>
      <c r="G38">
        <f t="shared" si="91"/>
        <v>10</v>
      </c>
      <c r="H38">
        <f t="shared" si="91"/>
        <v>1</v>
      </c>
      <c r="I38" s="5">
        <f>GenUnits!$V$12</f>
        <v>400</v>
      </c>
      <c r="J38" s="5">
        <f>GenUnits!$W$12</f>
        <v>122</v>
      </c>
      <c r="K38" s="14">
        <f t="shared" si="60"/>
        <v>302</v>
      </c>
      <c r="L38" s="14">
        <f t="shared" si="146"/>
        <v>400</v>
      </c>
      <c r="M38" s="14">
        <f t="shared" si="147"/>
        <v>122</v>
      </c>
      <c r="N38" s="34">
        <f>GenUnits!$V$11</f>
        <v>1297</v>
      </c>
      <c r="O38" s="34">
        <f>GenUnits!$W$11</f>
        <v>864</v>
      </c>
      <c r="P38" s="14">
        <f t="shared" si="19"/>
        <v>242</v>
      </c>
      <c r="Q38" s="14">
        <f t="shared" si="20"/>
        <v>1</v>
      </c>
      <c r="S38" s="7">
        <f t="shared" si="63"/>
        <v>302</v>
      </c>
      <c r="T38" s="7">
        <f t="shared" si="21"/>
        <v>98</v>
      </c>
      <c r="U38" s="7">
        <f t="shared" si="148"/>
        <v>400</v>
      </c>
      <c r="V38" s="7">
        <f t="shared" si="22"/>
        <v>3020</v>
      </c>
      <c r="W38" s="7">
        <f t="shared" si="23"/>
        <v>98</v>
      </c>
      <c r="X38" s="7">
        <f t="shared" si="149"/>
        <v>3118</v>
      </c>
      <c r="Y38" s="45"/>
      <c r="Z38" s="46"/>
      <c r="AA38" s="44">
        <f t="shared" si="66"/>
        <v>100</v>
      </c>
      <c r="AB38" s="7">
        <f t="shared" si="24"/>
        <v>278</v>
      </c>
      <c r="AC38" s="15">
        <f t="shared" si="25"/>
        <v>24</v>
      </c>
      <c r="AD38" s="8">
        <v>0</v>
      </c>
      <c r="AE38" s="15">
        <f t="shared" si="26"/>
        <v>0</v>
      </c>
      <c r="AF38" s="7">
        <f t="shared" si="67"/>
        <v>98</v>
      </c>
      <c r="AG38" s="7">
        <f t="shared" si="27"/>
        <v>0</v>
      </c>
      <c r="AH38" s="7">
        <f t="shared" si="150"/>
        <v>400</v>
      </c>
      <c r="AI38" s="7" t="b">
        <f t="shared" si="28"/>
        <v>1</v>
      </c>
      <c r="AJ38" s="7"/>
      <c r="AK38" s="7"/>
      <c r="AL38" s="7"/>
      <c r="AM38" s="7"/>
      <c r="AN38" s="7"/>
      <c r="AO38" s="7"/>
      <c r="AP38" s="7"/>
      <c r="AQ38" s="7"/>
      <c r="AR38" s="7"/>
      <c r="AS38" s="7"/>
      <c r="AT38" s="7"/>
      <c r="AU38" s="7"/>
      <c r="AV38" s="7">
        <f t="shared" si="29"/>
        <v>2780</v>
      </c>
      <c r="AW38" s="7">
        <f t="shared" si="30"/>
        <v>240</v>
      </c>
      <c r="AX38" s="7">
        <f t="shared" si="31"/>
        <v>0</v>
      </c>
      <c r="AY38" s="30">
        <f t="shared" si="32"/>
        <v>0</v>
      </c>
      <c r="AZ38" s="30">
        <f t="shared" si="33"/>
        <v>98</v>
      </c>
      <c r="BA38" s="30">
        <f t="shared" si="34"/>
        <v>0</v>
      </c>
      <c r="BB38" s="7">
        <f t="shared" si="151"/>
        <v>3118</v>
      </c>
      <c r="BC38" s="7" t="b">
        <f t="shared" si="35"/>
        <v>1</v>
      </c>
      <c r="BD38" s="7"/>
      <c r="BE38" s="7"/>
      <c r="BF38" s="7"/>
      <c r="BG38" s="7"/>
      <c r="BH38" s="7"/>
      <c r="BI38" s="7"/>
      <c r="BJ38" s="7"/>
      <c r="BK38" s="7"/>
      <c r="BL38" s="7"/>
      <c r="BM38" s="7"/>
      <c r="BN38" s="7"/>
      <c r="BO38" s="7"/>
      <c r="BP38" s="7">
        <f>MATCH($A38,GenUnits!$AX$43:$AX$48,1)</f>
        <v>4</v>
      </c>
      <c r="BQ38" s="7"/>
      <c r="BR38" s="2">
        <f t="shared" ca="1" si="36"/>
        <v>0.6902169860500027</v>
      </c>
      <c r="BS38" s="2">
        <f t="shared" ca="1" si="37"/>
        <v>0.19182986842379629</v>
      </c>
      <c r="BT38" s="2">
        <f t="shared" ca="1" si="38"/>
        <v>0.11795314552620097</v>
      </c>
      <c r="BU38" s="59">
        <f t="shared" ca="1" si="39"/>
        <v>0.85404911550473583</v>
      </c>
      <c r="BV38" s="59">
        <f t="shared" ca="1" si="40"/>
        <v>1</v>
      </c>
      <c r="BW38" s="59">
        <f t="shared" ca="1" si="41"/>
        <v>0.14595088449526419</v>
      </c>
      <c r="BX38" s="2">
        <f t="shared" si="42"/>
        <v>0.25</v>
      </c>
      <c r="BY38" s="2">
        <f t="shared" si="43"/>
        <v>0.19672131147540983</v>
      </c>
      <c r="BZ38" s="60">
        <f t="shared" ca="1" si="44"/>
        <v>0.78251737144027811</v>
      </c>
      <c r="CA38" s="60">
        <f t="shared" ca="1" si="45"/>
        <v>0.21748262855972189</v>
      </c>
      <c r="CB38" s="52">
        <v>0</v>
      </c>
      <c r="CC38" s="2"/>
      <c r="CD38" s="7"/>
      <c r="CE38" s="7"/>
      <c r="CF38" s="7"/>
      <c r="CG38" s="7">
        <f t="shared" si="46"/>
        <v>100</v>
      </c>
      <c r="CH38" s="9">
        <f t="shared" si="152"/>
        <v>2545.1202079272252</v>
      </c>
      <c r="CI38" s="7">
        <f t="shared" si="71"/>
        <v>98</v>
      </c>
      <c r="CJ38" s="9">
        <f t="shared" si="47"/>
        <v>474.87979207277453</v>
      </c>
      <c r="CK38" s="7">
        <f t="shared" ca="1" si="48"/>
        <v>2152.0965625039084</v>
      </c>
      <c r="CL38" s="7">
        <f t="shared" ca="1" si="49"/>
        <v>598.12552974539688</v>
      </c>
      <c r="CM38" s="7">
        <f t="shared" ca="1" si="50"/>
        <v>367.77790775069462</v>
      </c>
      <c r="CN38" s="7">
        <f t="shared" ca="1" si="51"/>
        <v>2446.8642965713962</v>
      </c>
      <c r="CO38" s="7">
        <f t="shared" ca="1" si="52"/>
        <v>223.03138243634922</v>
      </c>
      <c r="CP38" s="7">
        <f t="shared" ca="1" si="53"/>
        <v>448.10432099225449</v>
      </c>
      <c r="CQ38" s="7">
        <f t="array" aca="1" ref="CQ38" ca="1">(SUM(IF($AV$5:$BA$5=CQ$5,$AV38:$BA38))*BU38+SUM(IF($AV$5:$BA$5="B",$AV38:$BA38))*BR38)*$Q38</f>
        <v>2607.5498823880666</v>
      </c>
      <c r="CR38" s="7">
        <f t="array" aca="1" ref="CR38" ca="1">(SUM(IF($AV$5:$BA$5=CR$5,$AV38:$BA38))*BV38+SUM(IF($AV$5:$BA$5="B",$AV38:$BA38))*BS38)*$Q38</f>
        <v>64.83849552724314</v>
      </c>
      <c r="CS38" s="7">
        <f t="array" aca="1" ref="CS38" ca="1">(SUM(IF($AV$5:$BA$5=CS$5,$AV38:$BA38))*BW38+SUM(IF($AV$5:$BA$5="B",$AV38:$BA38))*BT38)*$Q38</f>
        <v>445.6116220846904</v>
      </c>
      <c r="CT38" s="7">
        <f t="array" aca="1" ref="CT38" ca="1">(SUM(IF($BF$5:$BL$5=CT$5,IF($BF$4:$BL$4="B",$BF38:$BL38)))*BU38+SUM(IF($BF$5:$BL$5=CT$5,IF($BF$4:$BL$4=CT$4,$BF38:$BL38)))+SUM(IF($BF$5:$BL$5="B",$BF38:$BL38))*BZ38)*$Q38</f>
        <v>0</v>
      </c>
      <c r="CU38" s="7">
        <f t="array" aca="1" ref="CU38" ca="1">(SUM(IF($BF$5:$BL$5=CU$5,IF($BF$4:$BL$4="B",$BF38:$BL38)))*BV38+SUM(IF($BF$5:$BL$5=CU$5,IF($BF$4:$BL$4=CU$4,$BF38:$BL38)))+SUM(IF($BF$5:$BL$5="B",$BF38:$BL38))*CA38)*$Q38</f>
        <v>0</v>
      </c>
      <c r="CV38" s="7">
        <f t="array" aca="1" ref="CV38" ca="1">(SUM(IF($BF$5:$BL$5=CV$5,IF($BF$4:$BL$4="B",$BF38:$BL38)))*BW38+SUM(IF($BF$5:$BL$5=CV$5,IF($BF$4:$BL$4=CV$4,$BF38:$BL38)))+SUM(IF($BF$5:$BL$5="B",$BF38:$BL38))*CB38)*$Q38</f>
        <v>0</v>
      </c>
      <c r="CW38" s="7"/>
      <c r="CX38" s="9">
        <f t="shared" si="72"/>
        <v>3020</v>
      </c>
      <c r="CY38" s="9">
        <f t="shared" si="153"/>
        <v>-2545.1202079272252</v>
      </c>
      <c r="CZ38" s="9">
        <f t="shared" si="154"/>
        <v>474.87979207277476</v>
      </c>
      <c r="DA38" s="9">
        <f t="shared" si="75"/>
        <v>98</v>
      </c>
      <c r="DB38" s="9">
        <f t="shared" si="155"/>
        <v>-572.87979207277453</v>
      </c>
      <c r="DC38" s="9">
        <f t="shared" si="156"/>
        <v>-474.87979207277453</v>
      </c>
      <c r="DD38" s="9">
        <f t="shared" si="78"/>
        <v>3020</v>
      </c>
      <c r="DE38" s="9">
        <f t="shared" ca="1" si="54"/>
        <v>-2152.0965625039084</v>
      </c>
      <c r="DF38" s="9">
        <f t="shared" ca="1" si="157"/>
        <v>867.90343749609156</v>
      </c>
      <c r="DG38" s="9">
        <f t="shared" si="80"/>
        <v>98</v>
      </c>
      <c r="DH38" s="9">
        <f t="shared" ca="1" si="158"/>
        <v>-965.90343749609156</v>
      </c>
      <c r="DI38" s="9">
        <f t="shared" ca="1" si="159"/>
        <v>-867.90343749609156</v>
      </c>
      <c r="DJ38" s="9">
        <f t="shared" si="83"/>
        <v>3020</v>
      </c>
      <c r="DK38" s="9">
        <f t="shared" ca="1" si="55"/>
        <v>-2446.8642965713962</v>
      </c>
      <c r="DL38" s="9">
        <f t="shared" ca="1" si="160"/>
        <v>573.13570342860385</v>
      </c>
      <c r="DM38" s="9">
        <f t="shared" si="85"/>
        <v>98</v>
      </c>
      <c r="DN38" s="9">
        <f t="shared" ca="1" si="56"/>
        <v>-671.13570342860373</v>
      </c>
      <c r="DO38" s="9">
        <f t="shared" ca="1" si="161"/>
        <v>-573.13570342860373</v>
      </c>
      <c r="DP38" s="9">
        <f t="shared" si="87"/>
        <v>3020</v>
      </c>
      <c r="DQ38" s="9">
        <f t="shared" ca="1" si="57"/>
        <v>-2607.5498823880666</v>
      </c>
      <c r="DR38" s="9">
        <f t="shared" ca="1" si="162"/>
        <v>412.45011761193336</v>
      </c>
      <c r="DS38" s="9">
        <f t="shared" si="89"/>
        <v>98</v>
      </c>
      <c r="DT38" s="9">
        <f t="shared" ca="1" si="58"/>
        <v>-510.45011761193354</v>
      </c>
      <c r="DU38" s="9">
        <f t="shared" ca="1" si="163"/>
        <v>-412.45011761193354</v>
      </c>
    </row>
    <row r="39" spans="1:125" ht="14.45" x14ac:dyDescent="0.35">
      <c r="A39" s="16">
        <f t="shared" si="125"/>
        <v>800</v>
      </c>
      <c r="B39" s="14">
        <f t="shared" si="145"/>
        <v>100</v>
      </c>
      <c r="C39" s="9">
        <f t="shared" si="16"/>
        <v>100</v>
      </c>
      <c r="D39" s="14">
        <f t="shared" si="17"/>
        <v>302</v>
      </c>
      <c r="E39" s="34">
        <f t="shared" si="92"/>
        <v>220</v>
      </c>
      <c r="F39" s="15">
        <f t="shared" ref="F39:F55" si="164">MIN(E39,MAX(-$B39,I39-K39),$C39)</f>
        <v>98</v>
      </c>
      <c r="G39">
        <f t="shared" si="91"/>
        <v>10</v>
      </c>
      <c r="H39">
        <f t="shared" si="91"/>
        <v>1</v>
      </c>
      <c r="I39" s="5">
        <f>GenUnits!$V$12</f>
        <v>400</v>
      </c>
      <c r="J39" s="5">
        <f>GenUnits!$W$12</f>
        <v>122</v>
      </c>
      <c r="K39" s="14">
        <f t="shared" si="60"/>
        <v>302</v>
      </c>
      <c r="L39" s="14">
        <f t="shared" si="146"/>
        <v>400</v>
      </c>
      <c r="M39" s="14">
        <f t="shared" si="147"/>
        <v>122</v>
      </c>
      <c r="N39" s="34">
        <f>GenUnits!$V$11</f>
        <v>1297</v>
      </c>
      <c r="O39" s="34">
        <f>GenUnits!$W$11</f>
        <v>864</v>
      </c>
      <c r="P39" s="14">
        <f t="shared" si="19"/>
        <v>242</v>
      </c>
      <c r="Q39" s="14">
        <f t="shared" si="20"/>
        <v>1</v>
      </c>
      <c r="S39" s="7">
        <f t="shared" si="63"/>
        <v>302</v>
      </c>
      <c r="T39" s="7">
        <f t="shared" si="21"/>
        <v>98</v>
      </c>
      <c r="U39" s="7">
        <f t="shared" si="148"/>
        <v>400</v>
      </c>
      <c r="V39" s="7">
        <f t="shared" si="22"/>
        <v>3020</v>
      </c>
      <c r="W39" s="7">
        <f t="shared" si="23"/>
        <v>98</v>
      </c>
      <c r="X39" s="7">
        <f t="shared" si="149"/>
        <v>3118</v>
      </c>
      <c r="Y39" s="45"/>
      <c r="Z39" s="46"/>
      <c r="AA39" s="44">
        <f t="shared" si="66"/>
        <v>220</v>
      </c>
      <c r="AB39" s="7">
        <f t="shared" si="24"/>
        <v>278</v>
      </c>
      <c r="AC39" s="15">
        <f t="shared" si="25"/>
        <v>24</v>
      </c>
      <c r="AD39" s="8">
        <v>0</v>
      </c>
      <c r="AE39" s="15">
        <f t="shared" si="26"/>
        <v>0</v>
      </c>
      <c r="AF39" s="7">
        <f t="shared" si="67"/>
        <v>98</v>
      </c>
      <c r="AG39" s="7">
        <f t="shared" si="27"/>
        <v>0</v>
      </c>
      <c r="AH39" s="7">
        <f t="shared" si="150"/>
        <v>400</v>
      </c>
      <c r="AI39" s="7" t="b">
        <f t="shared" si="28"/>
        <v>1</v>
      </c>
      <c r="AJ39" s="7"/>
      <c r="AK39" s="7"/>
      <c r="AL39" s="7"/>
      <c r="AM39" s="7"/>
      <c r="AN39" s="7"/>
      <c r="AO39" s="7"/>
      <c r="AP39" s="7"/>
      <c r="AQ39" s="7"/>
      <c r="AR39" s="7"/>
      <c r="AS39" s="7"/>
      <c r="AT39" s="7"/>
      <c r="AU39" s="7"/>
      <c r="AV39" s="7">
        <f t="shared" si="29"/>
        <v>2780</v>
      </c>
      <c r="AW39" s="7">
        <f t="shared" si="30"/>
        <v>240</v>
      </c>
      <c r="AX39" s="7">
        <f t="shared" si="31"/>
        <v>0</v>
      </c>
      <c r="AY39" s="30">
        <f t="shared" si="32"/>
        <v>0</v>
      </c>
      <c r="AZ39" s="30">
        <f t="shared" si="33"/>
        <v>98</v>
      </c>
      <c r="BA39" s="30">
        <f t="shared" si="34"/>
        <v>0</v>
      </c>
      <c r="BB39" s="7">
        <f t="shared" si="151"/>
        <v>3118</v>
      </c>
      <c r="BC39" s="7" t="b">
        <f t="shared" si="35"/>
        <v>1</v>
      </c>
      <c r="BD39" s="7"/>
      <c r="BE39" s="7"/>
      <c r="BF39" s="7"/>
      <c r="BG39" s="7"/>
      <c r="BH39" s="7"/>
      <c r="BI39" s="7"/>
      <c r="BJ39" s="7"/>
      <c r="BK39" s="7"/>
      <c r="BL39" s="7"/>
      <c r="BM39" s="7"/>
      <c r="BN39" s="7"/>
      <c r="BO39" s="7"/>
      <c r="BP39" s="7">
        <f>MATCH($A39,GenUnits!$AX$43:$AX$48,1)</f>
        <v>4</v>
      </c>
      <c r="BQ39" s="7"/>
      <c r="BR39" s="2">
        <f t="shared" ca="1" si="36"/>
        <v>0.6902169860500027</v>
      </c>
      <c r="BS39" s="2">
        <f t="shared" ca="1" si="37"/>
        <v>0.19182986842379629</v>
      </c>
      <c r="BT39" s="2">
        <f t="shared" ca="1" si="38"/>
        <v>0.11795314552620097</v>
      </c>
      <c r="BU39" s="59">
        <f t="shared" ca="1" si="39"/>
        <v>0.85404911550473583</v>
      </c>
      <c r="BV39" s="59">
        <f t="shared" ca="1" si="40"/>
        <v>1</v>
      </c>
      <c r="BW39" s="59">
        <f t="shared" ca="1" si="41"/>
        <v>0.14595088449526419</v>
      </c>
      <c r="BX39" s="2">
        <f t="shared" si="42"/>
        <v>0.25</v>
      </c>
      <c r="BY39" s="2">
        <f t="shared" si="43"/>
        <v>0.19672131147540983</v>
      </c>
      <c r="BZ39" s="60">
        <f t="shared" ca="1" si="44"/>
        <v>0.78251737144027811</v>
      </c>
      <c r="CA39" s="60">
        <f t="shared" ca="1" si="45"/>
        <v>0.21748262855972189</v>
      </c>
      <c r="CB39" s="52">
        <v>0</v>
      </c>
      <c r="CC39" s="2"/>
      <c r="CD39" s="7"/>
      <c r="CE39" s="7"/>
      <c r="CF39" s="7"/>
      <c r="CG39" s="7">
        <f t="shared" si="46"/>
        <v>220</v>
      </c>
      <c r="CH39" s="9">
        <f t="shared" si="152"/>
        <v>2545.1202079272252</v>
      </c>
      <c r="CI39" s="7">
        <f t="shared" si="71"/>
        <v>98</v>
      </c>
      <c r="CJ39" s="9">
        <f t="shared" si="47"/>
        <v>474.87979207277453</v>
      </c>
      <c r="CK39" s="7">
        <f t="shared" ca="1" si="48"/>
        <v>2152.0965625039084</v>
      </c>
      <c r="CL39" s="7">
        <f t="shared" ca="1" si="49"/>
        <v>598.12552974539688</v>
      </c>
      <c r="CM39" s="7">
        <f t="shared" ca="1" si="50"/>
        <v>367.77790775069462</v>
      </c>
      <c r="CN39" s="7">
        <f t="shared" ca="1" si="51"/>
        <v>2446.8642965713962</v>
      </c>
      <c r="CO39" s="7">
        <f t="shared" ca="1" si="52"/>
        <v>223.03138243634922</v>
      </c>
      <c r="CP39" s="7">
        <f t="shared" ca="1" si="53"/>
        <v>448.10432099225449</v>
      </c>
      <c r="CQ39" s="7">
        <f t="array" aca="1" ref="CQ39" ca="1">(SUM(IF($AV$5:$BA$5=CQ$5,$AV39:$BA39))*BU39+SUM(IF($AV$5:$BA$5="B",$AV39:$BA39))*BR39)*$Q39</f>
        <v>2607.5498823880666</v>
      </c>
      <c r="CR39" s="7">
        <f t="array" aca="1" ref="CR39" ca="1">(SUM(IF($AV$5:$BA$5=CR$5,$AV39:$BA39))*BV39+SUM(IF($AV$5:$BA$5="B",$AV39:$BA39))*BS39)*$Q39</f>
        <v>64.83849552724314</v>
      </c>
      <c r="CS39" s="7">
        <f t="array" aca="1" ref="CS39" ca="1">(SUM(IF($AV$5:$BA$5=CS$5,$AV39:$BA39))*BW39+SUM(IF($AV$5:$BA$5="B",$AV39:$BA39))*BT39)*$Q39</f>
        <v>445.6116220846904</v>
      </c>
      <c r="CT39" s="7">
        <f t="array" aca="1" ref="CT39" ca="1">(SUM(IF($BF$5:$BL$5=CT$5,IF($BF$4:$BL$4="B",$BF39:$BL39)))*BU39+SUM(IF($BF$5:$BL$5=CT$5,IF($BF$4:$BL$4=CT$4,$BF39:$BL39)))+SUM(IF($BF$5:$BL$5="B",$BF39:$BL39))*BZ39)*$Q39</f>
        <v>0</v>
      </c>
      <c r="CU39" s="7">
        <f t="array" aca="1" ref="CU39" ca="1">(SUM(IF($BF$5:$BL$5=CU$5,IF($BF$4:$BL$4="B",$BF39:$BL39)))*BV39+SUM(IF($BF$5:$BL$5=CU$5,IF($BF$4:$BL$4=CU$4,$BF39:$BL39)))+SUM(IF($BF$5:$BL$5="B",$BF39:$BL39))*CA39)*$Q39</f>
        <v>0</v>
      </c>
      <c r="CV39" s="7">
        <f t="array" aca="1" ref="CV39" ca="1">(SUM(IF($BF$5:$BL$5=CV$5,IF($BF$4:$BL$4="B",$BF39:$BL39)))*BW39+SUM(IF($BF$5:$BL$5=CV$5,IF($BF$4:$BL$4=CV$4,$BF39:$BL39)))+SUM(IF($BF$5:$BL$5="B",$BF39:$BL39))*CB39)*$Q39</f>
        <v>0</v>
      </c>
      <c r="CW39" s="7"/>
      <c r="CX39" s="9">
        <f t="shared" si="72"/>
        <v>3020</v>
      </c>
      <c r="CY39" s="9">
        <f t="shared" si="153"/>
        <v>-2545.1202079272252</v>
      </c>
      <c r="CZ39" s="9">
        <f t="shared" si="154"/>
        <v>474.87979207277476</v>
      </c>
      <c r="DA39" s="9">
        <f t="shared" si="75"/>
        <v>98</v>
      </c>
      <c r="DB39" s="9">
        <f t="shared" si="155"/>
        <v>-572.87979207277453</v>
      </c>
      <c r="DC39" s="9">
        <f t="shared" si="156"/>
        <v>-474.87979207277453</v>
      </c>
      <c r="DD39" s="9">
        <f t="shared" si="78"/>
        <v>3020</v>
      </c>
      <c r="DE39" s="9">
        <f t="shared" ca="1" si="54"/>
        <v>-2152.0965625039084</v>
      </c>
      <c r="DF39" s="9">
        <f t="shared" ca="1" si="157"/>
        <v>867.90343749609156</v>
      </c>
      <c r="DG39" s="9">
        <f t="shared" si="80"/>
        <v>98</v>
      </c>
      <c r="DH39" s="9">
        <f t="shared" ca="1" si="158"/>
        <v>-965.90343749609156</v>
      </c>
      <c r="DI39" s="9">
        <f t="shared" ca="1" si="159"/>
        <v>-867.90343749609156</v>
      </c>
      <c r="DJ39" s="9">
        <f t="shared" si="83"/>
        <v>3020</v>
      </c>
      <c r="DK39" s="9">
        <f t="shared" ca="1" si="55"/>
        <v>-2446.8642965713962</v>
      </c>
      <c r="DL39" s="9">
        <f t="shared" ca="1" si="160"/>
        <v>573.13570342860385</v>
      </c>
      <c r="DM39" s="9">
        <f t="shared" si="85"/>
        <v>98</v>
      </c>
      <c r="DN39" s="9">
        <f t="shared" ca="1" si="56"/>
        <v>-671.13570342860373</v>
      </c>
      <c r="DO39" s="9">
        <f t="shared" ca="1" si="161"/>
        <v>-573.13570342860373</v>
      </c>
      <c r="DP39" s="9">
        <f t="shared" si="87"/>
        <v>3020</v>
      </c>
      <c r="DQ39" s="9">
        <f t="shared" ca="1" si="57"/>
        <v>-2607.5498823880666</v>
      </c>
      <c r="DR39" s="9">
        <f t="shared" ca="1" si="162"/>
        <v>412.45011761193336</v>
      </c>
      <c r="DS39" s="9">
        <f t="shared" si="89"/>
        <v>98</v>
      </c>
      <c r="DT39" s="9">
        <f t="shared" ca="1" si="58"/>
        <v>-510.45011761193354</v>
      </c>
      <c r="DU39" s="9">
        <f t="shared" ca="1" si="163"/>
        <v>-412.45011761193354</v>
      </c>
    </row>
    <row r="40" spans="1:125" ht="14.45" x14ac:dyDescent="0.35">
      <c r="A40" s="16">
        <f t="shared" si="125"/>
        <v>1000</v>
      </c>
      <c r="B40" s="14">
        <f t="shared" si="145"/>
        <v>100</v>
      </c>
      <c r="C40" s="9">
        <f t="shared" si="16"/>
        <v>100</v>
      </c>
      <c r="D40" s="14">
        <f t="shared" si="17"/>
        <v>502</v>
      </c>
      <c r="E40" s="34">
        <f t="shared" si="92"/>
        <v>0</v>
      </c>
      <c r="F40" s="15">
        <f t="shared" si="164"/>
        <v>-100</v>
      </c>
      <c r="G40">
        <f t="shared" si="91"/>
        <v>10</v>
      </c>
      <c r="H40">
        <f t="shared" si="91"/>
        <v>1</v>
      </c>
      <c r="I40" s="5">
        <f>GenUnits!$V$12</f>
        <v>400</v>
      </c>
      <c r="J40" s="5">
        <f>GenUnits!$W$12</f>
        <v>122</v>
      </c>
      <c r="K40" s="14">
        <f t="shared" si="60"/>
        <v>502</v>
      </c>
      <c r="L40" s="14">
        <f t="shared" si="146"/>
        <v>502</v>
      </c>
      <c r="M40" s="14">
        <f t="shared" si="147"/>
        <v>122</v>
      </c>
      <c r="N40" s="34">
        <f>GenUnits!$V$11</f>
        <v>1297</v>
      </c>
      <c r="O40" s="34">
        <f>GenUnits!$W$11</f>
        <v>864</v>
      </c>
      <c r="P40" s="14">
        <f t="shared" si="19"/>
        <v>442</v>
      </c>
      <c r="Q40" s="14">
        <f t="shared" si="20"/>
        <v>1</v>
      </c>
      <c r="S40" s="7">
        <f t="shared" si="63"/>
        <v>502</v>
      </c>
      <c r="T40" s="7">
        <f t="shared" si="21"/>
        <v>22</v>
      </c>
      <c r="U40" s="7">
        <f t="shared" si="148"/>
        <v>524</v>
      </c>
      <c r="V40" s="7">
        <f t="shared" si="22"/>
        <v>5020</v>
      </c>
      <c r="W40" s="7">
        <f t="shared" si="23"/>
        <v>22</v>
      </c>
      <c r="X40" s="7">
        <f t="shared" si="149"/>
        <v>5042</v>
      </c>
      <c r="Y40" s="45"/>
      <c r="Z40" s="46" t="str">
        <f>$D40&amp;" MW"</f>
        <v>502 MW</v>
      </c>
      <c r="AA40" s="44">
        <f t="shared" si="66"/>
        <v>0</v>
      </c>
      <c r="AB40" s="7">
        <f t="shared" si="24"/>
        <v>402</v>
      </c>
      <c r="AC40" s="15">
        <f t="shared" si="25"/>
        <v>100</v>
      </c>
      <c r="AD40" s="8">
        <v>0</v>
      </c>
      <c r="AE40" s="15">
        <f t="shared" si="26"/>
        <v>0</v>
      </c>
      <c r="AF40" s="7">
        <f t="shared" si="67"/>
        <v>0</v>
      </c>
      <c r="AG40" s="7">
        <f t="shared" si="27"/>
        <v>22</v>
      </c>
      <c r="AH40" s="7">
        <f t="shared" si="150"/>
        <v>524</v>
      </c>
      <c r="AI40" s="7" t="b">
        <f t="shared" si="28"/>
        <v>1</v>
      </c>
      <c r="AJ40" s="7"/>
      <c r="AK40" s="7"/>
      <c r="AL40" s="7"/>
      <c r="AM40" s="7"/>
      <c r="AN40" s="7"/>
      <c r="AO40" s="7"/>
      <c r="AP40" s="7"/>
      <c r="AQ40" s="7"/>
      <c r="AR40" s="7"/>
      <c r="AS40" s="7"/>
      <c r="AT40" s="7"/>
      <c r="AU40" s="7"/>
      <c r="AV40" s="7">
        <f t="shared" si="29"/>
        <v>4020</v>
      </c>
      <c r="AW40" s="7">
        <f t="shared" si="30"/>
        <v>1000</v>
      </c>
      <c r="AX40" s="7">
        <f t="shared" si="31"/>
        <v>0</v>
      </c>
      <c r="AY40" s="30">
        <f t="shared" si="32"/>
        <v>0</v>
      </c>
      <c r="AZ40" s="30">
        <f t="shared" si="33"/>
        <v>0</v>
      </c>
      <c r="BA40" s="30">
        <f t="shared" si="34"/>
        <v>22</v>
      </c>
      <c r="BB40" s="7">
        <f t="shared" si="151"/>
        <v>5042</v>
      </c>
      <c r="BC40" s="7" t="b">
        <f t="shared" si="35"/>
        <v>1</v>
      </c>
      <c r="BD40" s="7"/>
      <c r="BE40" s="7"/>
      <c r="BF40" s="7"/>
      <c r="BG40" s="7"/>
      <c r="BH40" s="7"/>
      <c r="BI40" s="7"/>
      <c r="BJ40" s="7"/>
      <c r="BK40" s="7"/>
      <c r="BL40" s="7"/>
      <c r="BM40" s="7"/>
      <c r="BN40" s="7"/>
      <c r="BO40" s="7"/>
      <c r="BP40" s="7">
        <f>MATCH($A40,GenUnits!$AX$43:$AX$48,1)</f>
        <v>6</v>
      </c>
      <c r="BQ40" s="7"/>
      <c r="BR40" s="2">
        <f t="shared" ca="1" si="36"/>
        <v>0.47992057321381393</v>
      </c>
      <c r="BS40" s="2">
        <f t="shared" ca="1" si="37"/>
        <v>0.15285248479983765</v>
      </c>
      <c r="BT40" s="2">
        <f t="shared" ca="1" si="38"/>
        <v>0.36722694198634848</v>
      </c>
      <c r="BU40" s="59">
        <f t="shared" ca="1" si="39"/>
        <v>0.56651358187649192</v>
      </c>
      <c r="BV40" s="59">
        <f t="shared" ca="1" si="40"/>
        <v>1</v>
      </c>
      <c r="BW40" s="59">
        <f t="shared" ca="1" si="41"/>
        <v>0.43348641812350802</v>
      </c>
      <c r="BX40" s="2">
        <f t="shared" si="42"/>
        <v>0.19083969465648856</v>
      </c>
      <c r="BY40" s="2">
        <f t="shared" si="43"/>
        <v>1</v>
      </c>
      <c r="BZ40" s="60">
        <f t="shared" ca="1" si="44"/>
        <v>0.75844027670890501</v>
      </c>
      <c r="CA40" s="60">
        <f t="shared" ca="1" si="45"/>
        <v>0.24155972329109496</v>
      </c>
      <c r="CB40" s="52">
        <v>0</v>
      </c>
      <c r="CC40" s="2"/>
      <c r="CD40" s="7"/>
      <c r="CE40" s="7"/>
      <c r="CF40" s="7"/>
      <c r="CG40" s="7">
        <f t="shared" si="46"/>
        <v>0</v>
      </c>
      <c r="CH40" s="9">
        <f t="shared" si="152"/>
        <v>3744.0713053479012</v>
      </c>
      <c r="CI40" s="7">
        <f t="shared" si="71"/>
        <v>22</v>
      </c>
      <c r="CJ40" s="9">
        <f t="shared" si="47"/>
        <v>1275.928694652099</v>
      </c>
      <c r="CK40" s="7">
        <f t="shared" ca="1" si="48"/>
        <v>2419.7595301440497</v>
      </c>
      <c r="CL40" s="7">
        <f t="shared" ca="1" si="49"/>
        <v>770.68222836078144</v>
      </c>
      <c r="CM40" s="7">
        <f t="shared" ca="1" si="50"/>
        <v>1851.5582414951691</v>
      </c>
      <c r="CN40" s="7">
        <f t="shared" ca="1" si="51"/>
        <v>3491.3400505380059</v>
      </c>
      <c r="CO40" s="7">
        <f t="shared" ca="1" si="52"/>
        <v>164.87828785511095</v>
      </c>
      <c r="CP40" s="7">
        <f t="shared" ca="1" si="53"/>
        <v>1385.7816616068833</v>
      </c>
      <c r="CQ40" s="7">
        <f t="array" aca="1" ref="CQ40" ca="1">(SUM(IF($AV$5:$BA$5=CQ$5,$AV40:$BA40))*BU40+SUM(IF($AV$5:$BA$5="B",$AV40:$BA40))*BR40)*$Q40</f>
        <v>2757.3051723573112</v>
      </c>
      <c r="CR40" s="7">
        <f t="array" aca="1" ref="CR40" ca="1">(SUM(IF($AV$5:$BA$5=CR$5,$AV40:$BA40))*BV40+SUM(IF($AV$5:$BA$5="B",$AV40:$BA40))*BS40)*$Q40</f>
        <v>174.85248479983764</v>
      </c>
      <c r="CS40" s="7">
        <f t="array" aca="1" ref="CS40" ca="1">(SUM(IF($AV$5:$BA$5=CS$5,$AV40:$BA40))*BW40+SUM(IF($AV$5:$BA$5="B",$AV40:$BA40))*BT40)*$Q40</f>
        <v>2109.8423428428505</v>
      </c>
      <c r="CT40" s="7">
        <f t="array" aca="1" ref="CT40" ca="1">(SUM(IF($BF$5:$BL$5=CT$5,IF($BF$4:$BL$4="B",$BF40:$BL40)))*BU40+SUM(IF($BF$5:$BL$5=CT$5,IF($BF$4:$BL$4=CT$4,$BF40:$BL40)))+SUM(IF($BF$5:$BL$5="B",$BF40:$BL40))*BZ40)*$Q40</f>
        <v>0</v>
      </c>
      <c r="CU40" s="7">
        <f t="array" aca="1" ref="CU40" ca="1">(SUM(IF($BF$5:$BL$5=CU$5,IF($BF$4:$BL$4="B",$BF40:$BL40)))*BV40+SUM(IF($BF$5:$BL$5=CU$5,IF($BF$4:$BL$4=CU$4,$BF40:$BL40)))+SUM(IF($BF$5:$BL$5="B",$BF40:$BL40))*CA40)*$Q40</f>
        <v>0</v>
      </c>
      <c r="CV40" s="7">
        <f t="array" aca="1" ref="CV40" ca="1">(SUM(IF($BF$5:$BL$5=CV$5,IF($BF$4:$BL$4="B",$BF40:$BL40)))*BW40+SUM(IF($BF$5:$BL$5=CV$5,IF($BF$4:$BL$4=CV$4,$BF40:$BL40)))+SUM(IF($BF$5:$BL$5="B",$BF40:$BL40))*CB40)*$Q40</f>
        <v>0</v>
      </c>
      <c r="CW40" s="7"/>
      <c r="CX40" s="9">
        <f t="shared" si="72"/>
        <v>5020</v>
      </c>
      <c r="CY40" s="9">
        <f t="shared" si="153"/>
        <v>-3744.0713053479012</v>
      </c>
      <c r="CZ40" s="9">
        <f t="shared" si="154"/>
        <v>1275.9286946520988</v>
      </c>
      <c r="DA40" s="9">
        <f t="shared" si="75"/>
        <v>22</v>
      </c>
      <c r="DB40" s="9">
        <f t="shared" si="155"/>
        <v>-1297.928694652099</v>
      </c>
      <c r="DC40" s="9">
        <f t="shared" si="156"/>
        <v>-1275.928694652099</v>
      </c>
      <c r="DD40" s="9">
        <f t="shared" si="78"/>
        <v>5020</v>
      </c>
      <c r="DE40" s="9">
        <f t="shared" ca="1" si="54"/>
        <v>-2419.7595301440497</v>
      </c>
      <c r="DF40" s="9">
        <f t="shared" ca="1" si="157"/>
        <v>2600.2404698559503</v>
      </c>
      <c r="DG40" s="9">
        <f t="shared" si="80"/>
        <v>22</v>
      </c>
      <c r="DH40" s="9">
        <f t="shared" ca="1" si="158"/>
        <v>-2622.2404698559503</v>
      </c>
      <c r="DI40" s="9">
        <f t="shared" ca="1" si="159"/>
        <v>-2600.2404698559503</v>
      </c>
      <c r="DJ40" s="9">
        <f t="shared" si="83"/>
        <v>5020</v>
      </c>
      <c r="DK40" s="9">
        <f t="shared" ca="1" si="55"/>
        <v>-3491.3400505380059</v>
      </c>
      <c r="DL40" s="9">
        <f t="shared" ca="1" si="160"/>
        <v>1528.6599494619941</v>
      </c>
      <c r="DM40" s="9">
        <f t="shared" si="85"/>
        <v>22</v>
      </c>
      <c r="DN40" s="9">
        <f t="shared" ca="1" si="56"/>
        <v>-1550.6599494619943</v>
      </c>
      <c r="DO40" s="9">
        <f t="shared" ca="1" si="161"/>
        <v>-1528.6599494619943</v>
      </c>
      <c r="DP40" s="9">
        <f t="shared" si="87"/>
        <v>5020</v>
      </c>
      <c r="DQ40" s="9">
        <f t="shared" ca="1" si="57"/>
        <v>-2757.3051723573112</v>
      </c>
      <c r="DR40" s="9">
        <f t="shared" ca="1" si="162"/>
        <v>2262.6948276426888</v>
      </c>
      <c r="DS40" s="9">
        <f t="shared" si="89"/>
        <v>22</v>
      </c>
      <c r="DT40" s="9">
        <f t="shared" ca="1" si="58"/>
        <v>-2284.6948276426883</v>
      </c>
      <c r="DU40" s="9">
        <f t="shared" ca="1" si="163"/>
        <v>-2262.6948276426883</v>
      </c>
    </row>
    <row r="41" spans="1:125" ht="14.45" x14ac:dyDescent="0.35">
      <c r="A41" s="16">
        <f t="shared" si="125"/>
        <v>1000</v>
      </c>
      <c r="B41" s="14">
        <f t="shared" si="145"/>
        <v>100</v>
      </c>
      <c r="C41" s="9">
        <f t="shared" si="16"/>
        <v>100</v>
      </c>
      <c r="D41" s="14">
        <f t="shared" si="17"/>
        <v>502</v>
      </c>
      <c r="E41" s="34">
        <f t="shared" si="92"/>
        <v>10</v>
      </c>
      <c r="F41" s="15">
        <f t="shared" si="164"/>
        <v>-100</v>
      </c>
      <c r="G41">
        <f t="shared" si="91"/>
        <v>10</v>
      </c>
      <c r="H41">
        <f t="shared" si="91"/>
        <v>1</v>
      </c>
      <c r="I41" s="5">
        <f>GenUnits!$V$12</f>
        <v>400</v>
      </c>
      <c r="J41" s="5">
        <f>GenUnits!$W$12</f>
        <v>122</v>
      </c>
      <c r="K41" s="14">
        <f t="shared" si="60"/>
        <v>502</v>
      </c>
      <c r="L41" s="14">
        <f t="shared" si="146"/>
        <v>502</v>
      </c>
      <c r="M41" s="14">
        <f t="shared" si="147"/>
        <v>122</v>
      </c>
      <c r="N41" s="34">
        <f>GenUnits!$V$11</f>
        <v>1297</v>
      </c>
      <c r="O41" s="34">
        <f>GenUnits!$W$11</f>
        <v>864</v>
      </c>
      <c r="P41" s="14">
        <f t="shared" si="19"/>
        <v>442</v>
      </c>
      <c r="Q41" s="14">
        <f t="shared" si="20"/>
        <v>1</v>
      </c>
      <c r="S41" s="7">
        <f t="shared" si="63"/>
        <v>502</v>
      </c>
      <c r="T41" s="7">
        <f t="shared" si="21"/>
        <v>22</v>
      </c>
      <c r="U41" s="7">
        <f t="shared" si="148"/>
        <v>524</v>
      </c>
      <c r="V41" s="7">
        <f t="shared" si="22"/>
        <v>5020</v>
      </c>
      <c r="W41" s="7">
        <f t="shared" si="23"/>
        <v>22</v>
      </c>
      <c r="X41" s="7">
        <f t="shared" si="149"/>
        <v>5042</v>
      </c>
      <c r="Y41" s="45"/>
      <c r="Z41" s="35"/>
      <c r="AA41" s="44">
        <f t="shared" si="66"/>
        <v>10</v>
      </c>
      <c r="AB41" s="7">
        <f t="shared" si="24"/>
        <v>402</v>
      </c>
      <c r="AC41" s="15">
        <f t="shared" si="25"/>
        <v>100</v>
      </c>
      <c r="AD41" s="8">
        <v>0</v>
      </c>
      <c r="AE41" s="15">
        <f t="shared" si="26"/>
        <v>0</v>
      </c>
      <c r="AF41" s="7">
        <f t="shared" si="67"/>
        <v>0</v>
      </c>
      <c r="AG41" s="7">
        <f t="shared" si="27"/>
        <v>22</v>
      </c>
      <c r="AH41" s="7">
        <f t="shared" si="150"/>
        <v>524</v>
      </c>
      <c r="AI41" s="7" t="b">
        <f t="shared" si="28"/>
        <v>1</v>
      </c>
      <c r="AJ41" s="7"/>
      <c r="AK41" s="7"/>
      <c r="AL41" s="7"/>
      <c r="AM41" s="7"/>
      <c r="AN41" s="7"/>
      <c r="AO41" s="7"/>
      <c r="AP41" s="7"/>
      <c r="AQ41" s="7"/>
      <c r="AR41" s="7"/>
      <c r="AS41" s="7"/>
      <c r="AT41" s="7"/>
      <c r="AU41" s="7"/>
      <c r="AV41" s="7">
        <f t="shared" si="29"/>
        <v>4020</v>
      </c>
      <c r="AW41" s="7">
        <f t="shared" si="30"/>
        <v>1000</v>
      </c>
      <c r="AX41" s="7">
        <f t="shared" si="31"/>
        <v>0</v>
      </c>
      <c r="AY41" s="30">
        <f t="shared" si="32"/>
        <v>0</v>
      </c>
      <c r="AZ41" s="30">
        <f t="shared" si="33"/>
        <v>0</v>
      </c>
      <c r="BA41" s="30">
        <f t="shared" si="34"/>
        <v>22</v>
      </c>
      <c r="BB41" s="7">
        <f t="shared" si="151"/>
        <v>5042</v>
      </c>
      <c r="BC41" s="7" t="b">
        <f t="shared" si="35"/>
        <v>1</v>
      </c>
      <c r="BD41" s="7"/>
      <c r="BE41" s="7"/>
      <c r="BF41" s="7"/>
      <c r="BG41" s="7"/>
      <c r="BH41" s="7"/>
      <c r="BI41" s="7"/>
      <c r="BJ41" s="7"/>
      <c r="BK41" s="7"/>
      <c r="BL41" s="7"/>
      <c r="BM41" s="7"/>
      <c r="BN41" s="7"/>
      <c r="BO41" s="7"/>
      <c r="BP41" s="7">
        <f>MATCH($A41,GenUnits!$AX$43:$AX$48,1)</f>
        <v>6</v>
      </c>
      <c r="BQ41" s="7"/>
      <c r="BR41" s="2">
        <f t="shared" ca="1" si="36"/>
        <v>0.47992057321381393</v>
      </c>
      <c r="BS41" s="2">
        <f t="shared" ca="1" si="37"/>
        <v>0.15285248479983765</v>
      </c>
      <c r="BT41" s="2">
        <f t="shared" ca="1" si="38"/>
        <v>0.36722694198634848</v>
      </c>
      <c r="BU41" s="59">
        <f t="shared" ca="1" si="39"/>
        <v>0.56651358187649192</v>
      </c>
      <c r="BV41" s="59">
        <f t="shared" ca="1" si="40"/>
        <v>1</v>
      </c>
      <c r="BW41" s="59">
        <f t="shared" ca="1" si="41"/>
        <v>0.43348641812350802</v>
      </c>
      <c r="BX41" s="2">
        <f t="shared" si="42"/>
        <v>0.19083969465648856</v>
      </c>
      <c r="BY41" s="2">
        <f t="shared" si="43"/>
        <v>1</v>
      </c>
      <c r="BZ41" s="60">
        <f t="shared" ca="1" si="44"/>
        <v>0.75844027670890501</v>
      </c>
      <c r="CA41" s="60">
        <f t="shared" ca="1" si="45"/>
        <v>0.24155972329109496</v>
      </c>
      <c r="CB41" s="52">
        <v>0</v>
      </c>
      <c r="CC41" s="2"/>
      <c r="CD41" s="7"/>
      <c r="CE41" s="7"/>
      <c r="CF41" s="7"/>
      <c r="CG41" s="7">
        <f t="shared" si="46"/>
        <v>10</v>
      </c>
      <c r="CH41" s="9">
        <f t="shared" si="152"/>
        <v>3744.0713053479012</v>
      </c>
      <c r="CI41" s="7">
        <f t="shared" si="71"/>
        <v>22</v>
      </c>
      <c r="CJ41" s="9">
        <f t="shared" si="47"/>
        <v>1275.928694652099</v>
      </c>
      <c r="CK41" s="7">
        <f t="shared" ca="1" si="48"/>
        <v>2419.7595301440497</v>
      </c>
      <c r="CL41" s="7">
        <f t="shared" ca="1" si="49"/>
        <v>770.68222836078144</v>
      </c>
      <c r="CM41" s="7">
        <f t="shared" ca="1" si="50"/>
        <v>1851.5582414951691</v>
      </c>
      <c r="CN41" s="7">
        <f t="shared" ca="1" si="51"/>
        <v>3491.3400505380059</v>
      </c>
      <c r="CO41" s="7">
        <f t="shared" ca="1" si="52"/>
        <v>164.87828785511095</v>
      </c>
      <c r="CP41" s="7">
        <f t="shared" ca="1" si="53"/>
        <v>1385.7816616068833</v>
      </c>
      <c r="CQ41" s="7">
        <f t="array" aca="1" ref="CQ41" ca="1">(SUM(IF($AV$5:$BA$5=CQ$5,$AV41:$BA41))*BU41+SUM(IF($AV$5:$BA$5="B",$AV41:$BA41))*BR41)*$Q41</f>
        <v>2757.3051723573112</v>
      </c>
      <c r="CR41" s="7">
        <f t="array" aca="1" ref="CR41" ca="1">(SUM(IF($AV$5:$BA$5=CR$5,$AV41:$BA41))*BV41+SUM(IF($AV$5:$BA$5="B",$AV41:$BA41))*BS41)*$Q41</f>
        <v>174.85248479983764</v>
      </c>
      <c r="CS41" s="7">
        <f t="array" aca="1" ref="CS41" ca="1">(SUM(IF($AV$5:$BA$5=CS$5,$AV41:$BA41))*BW41+SUM(IF($AV$5:$BA$5="B",$AV41:$BA41))*BT41)*$Q41</f>
        <v>2109.8423428428505</v>
      </c>
      <c r="CT41" s="7">
        <f t="array" aca="1" ref="CT41" ca="1">(SUM(IF($BF$5:$BL$5=CT$5,IF($BF$4:$BL$4="B",$BF41:$BL41)))*BU41+SUM(IF($BF$5:$BL$5=CT$5,IF($BF$4:$BL$4=CT$4,$BF41:$BL41)))+SUM(IF($BF$5:$BL$5="B",$BF41:$BL41))*BZ41)*$Q41</f>
        <v>0</v>
      </c>
      <c r="CU41" s="7">
        <f t="array" aca="1" ref="CU41" ca="1">(SUM(IF($BF$5:$BL$5=CU$5,IF($BF$4:$BL$4="B",$BF41:$BL41)))*BV41+SUM(IF($BF$5:$BL$5=CU$5,IF($BF$4:$BL$4=CU$4,$BF41:$BL41)))+SUM(IF($BF$5:$BL$5="B",$BF41:$BL41))*CA41)*$Q41</f>
        <v>0</v>
      </c>
      <c r="CV41" s="7">
        <f t="array" aca="1" ref="CV41" ca="1">(SUM(IF($BF$5:$BL$5=CV$5,IF($BF$4:$BL$4="B",$BF41:$BL41)))*BW41+SUM(IF($BF$5:$BL$5=CV$5,IF($BF$4:$BL$4=CV$4,$BF41:$BL41)))+SUM(IF($BF$5:$BL$5="B",$BF41:$BL41))*CB41)*$Q41</f>
        <v>0</v>
      </c>
      <c r="CW41" s="7"/>
      <c r="CX41" s="9">
        <f t="shared" si="72"/>
        <v>5020</v>
      </c>
      <c r="CY41" s="9">
        <f t="shared" si="153"/>
        <v>-3744.0713053479012</v>
      </c>
      <c r="CZ41" s="9">
        <f t="shared" si="154"/>
        <v>1275.9286946520988</v>
      </c>
      <c r="DA41" s="9">
        <f t="shared" si="75"/>
        <v>22</v>
      </c>
      <c r="DB41" s="9">
        <f t="shared" si="155"/>
        <v>-1297.928694652099</v>
      </c>
      <c r="DC41" s="9">
        <f t="shared" si="156"/>
        <v>-1275.928694652099</v>
      </c>
      <c r="DD41" s="9">
        <f t="shared" si="78"/>
        <v>5020</v>
      </c>
      <c r="DE41" s="9">
        <f t="shared" ca="1" si="54"/>
        <v>-2419.7595301440497</v>
      </c>
      <c r="DF41" s="9">
        <f t="shared" ca="1" si="157"/>
        <v>2600.2404698559503</v>
      </c>
      <c r="DG41" s="9">
        <f t="shared" si="80"/>
        <v>22</v>
      </c>
      <c r="DH41" s="9">
        <f t="shared" ca="1" si="158"/>
        <v>-2622.2404698559503</v>
      </c>
      <c r="DI41" s="9">
        <f t="shared" ca="1" si="159"/>
        <v>-2600.2404698559503</v>
      </c>
      <c r="DJ41" s="9">
        <f t="shared" si="83"/>
        <v>5020</v>
      </c>
      <c r="DK41" s="9">
        <f t="shared" ca="1" si="55"/>
        <v>-3491.3400505380059</v>
      </c>
      <c r="DL41" s="9">
        <f t="shared" ca="1" si="160"/>
        <v>1528.6599494619941</v>
      </c>
      <c r="DM41" s="9">
        <f t="shared" si="85"/>
        <v>22</v>
      </c>
      <c r="DN41" s="9">
        <f t="shared" ca="1" si="56"/>
        <v>-1550.6599494619943</v>
      </c>
      <c r="DO41" s="9">
        <f t="shared" ca="1" si="161"/>
        <v>-1528.6599494619943</v>
      </c>
      <c r="DP41" s="9">
        <f t="shared" si="87"/>
        <v>5020</v>
      </c>
      <c r="DQ41" s="9">
        <f t="shared" ca="1" si="57"/>
        <v>-2757.3051723573112</v>
      </c>
      <c r="DR41" s="9">
        <f t="shared" ca="1" si="162"/>
        <v>2262.6948276426888</v>
      </c>
      <c r="DS41" s="9">
        <f t="shared" si="89"/>
        <v>22</v>
      </c>
      <c r="DT41" s="9">
        <f t="shared" ca="1" si="58"/>
        <v>-2284.6948276426883</v>
      </c>
      <c r="DU41" s="9">
        <f t="shared" ca="1" si="163"/>
        <v>-2262.6948276426883</v>
      </c>
    </row>
    <row r="42" spans="1:125" ht="14.45" x14ac:dyDescent="0.35">
      <c r="A42" s="16">
        <f t="shared" si="125"/>
        <v>1000</v>
      </c>
      <c r="B42" s="14">
        <f t="shared" si="145"/>
        <v>100</v>
      </c>
      <c r="C42" s="9">
        <f t="shared" si="16"/>
        <v>100</v>
      </c>
      <c r="D42" s="14">
        <f t="shared" si="17"/>
        <v>502</v>
      </c>
      <c r="E42" s="34">
        <f t="shared" si="92"/>
        <v>100</v>
      </c>
      <c r="F42" s="15">
        <f t="shared" si="164"/>
        <v>-100</v>
      </c>
      <c r="G42">
        <f t="shared" si="91"/>
        <v>10</v>
      </c>
      <c r="H42">
        <f t="shared" si="91"/>
        <v>1</v>
      </c>
      <c r="I42" s="5">
        <f>GenUnits!$V$12</f>
        <v>400</v>
      </c>
      <c r="J42" s="5">
        <f>GenUnits!$W$12</f>
        <v>122</v>
      </c>
      <c r="K42" s="14">
        <f t="shared" si="60"/>
        <v>502</v>
      </c>
      <c r="L42" s="14">
        <f t="shared" si="146"/>
        <v>502</v>
      </c>
      <c r="M42" s="14">
        <f t="shared" si="147"/>
        <v>122</v>
      </c>
      <c r="N42" s="34">
        <f>GenUnits!$V$11</f>
        <v>1297</v>
      </c>
      <c r="O42" s="34">
        <f>GenUnits!$W$11</f>
        <v>864</v>
      </c>
      <c r="P42" s="14">
        <f t="shared" si="19"/>
        <v>442</v>
      </c>
      <c r="Q42" s="14">
        <f t="shared" si="20"/>
        <v>1</v>
      </c>
      <c r="S42" s="7">
        <f t="shared" si="63"/>
        <v>502</v>
      </c>
      <c r="T42" s="7">
        <f t="shared" si="21"/>
        <v>22</v>
      </c>
      <c r="U42" s="7">
        <f t="shared" si="148"/>
        <v>524</v>
      </c>
      <c r="V42" s="7">
        <f t="shared" si="22"/>
        <v>5020</v>
      </c>
      <c r="W42" s="7">
        <f t="shared" si="23"/>
        <v>22</v>
      </c>
      <c r="X42" s="7">
        <f t="shared" si="149"/>
        <v>5042</v>
      </c>
      <c r="Y42" s="45"/>
      <c r="Z42" s="35"/>
      <c r="AA42" s="44">
        <f t="shared" si="66"/>
        <v>100</v>
      </c>
      <c r="AB42" s="7">
        <f t="shared" si="24"/>
        <v>402</v>
      </c>
      <c r="AC42" s="15">
        <f t="shared" si="25"/>
        <v>100</v>
      </c>
      <c r="AD42" s="8">
        <v>0</v>
      </c>
      <c r="AE42" s="15">
        <f t="shared" si="26"/>
        <v>0</v>
      </c>
      <c r="AF42" s="7">
        <f t="shared" si="67"/>
        <v>0</v>
      </c>
      <c r="AG42" s="7">
        <f t="shared" si="27"/>
        <v>22</v>
      </c>
      <c r="AH42" s="7">
        <f t="shared" si="150"/>
        <v>524</v>
      </c>
      <c r="AI42" s="7" t="b">
        <f t="shared" si="28"/>
        <v>1</v>
      </c>
      <c r="AJ42" s="7"/>
      <c r="AK42" s="7"/>
      <c r="AL42" s="7"/>
      <c r="AM42" s="7"/>
      <c r="AN42" s="7"/>
      <c r="AO42" s="7"/>
      <c r="AP42" s="7"/>
      <c r="AQ42" s="7"/>
      <c r="AR42" s="7"/>
      <c r="AS42" s="7"/>
      <c r="AT42" s="7"/>
      <c r="AU42" s="7"/>
      <c r="AV42" s="7">
        <f t="shared" si="29"/>
        <v>4020</v>
      </c>
      <c r="AW42" s="7">
        <f t="shared" si="30"/>
        <v>1000</v>
      </c>
      <c r="AX42" s="7">
        <f t="shared" si="31"/>
        <v>0</v>
      </c>
      <c r="AY42" s="30">
        <f t="shared" si="32"/>
        <v>0</v>
      </c>
      <c r="AZ42" s="30">
        <f t="shared" si="33"/>
        <v>0</v>
      </c>
      <c r="BA42" s="30">
        <f t="shared" si="34"/>
        <v>22</v>
      </c>
      <c r="BB42" s="7">
        <f t="shared" si="151"/>
        <v>5042</v>
      </c>
      <c r="BC42" s="7" t="b">
        <f t="shared" si="35"/>
        <v>1</v>
      </c>
      <c r="BD42" s="7"/>
      <c r="BE42" s="7"/>
      <c r="BF42" s="7"/>
      <c r="BG42" s="7"/>
      <c r="BH42" s="7"/>
      <c r="BI42" s="7"/>
      <c r="BJ42" s="7"/>
      <c r="BK42" s="7"/>
      <c r="BL42" s="7"/>
      <c r="BM42" s="7"/>
      <c r="BN42" s="7"/>
      <c r="BO42" s="7"/>
      <c r="BP42" s="7">
        <f>MATCH($A42,GenUnits!$AX$43:$AX$48,1)</f>
        <v>6</v>
      </c>
      <c r="BQ42" s="7"/>
      <c r="BR42" s="2">
        <f t="shared" ca="1" si="36"/>
        <v>0.47992057321381393</v>
      </c>
      <c r="BS42" s="2">
        <f t="shared" ca="1" si="37"/>
        <v>0.15285248479983765</v>
      </c>
      <c r="BT42" s="2">
        <f t="shared" ca="1" si="38"/>
        <v>0.36722694198634848</v>
      </c>
      <c r="BU42" s="59">
        <f t="shared" ca="1" si="39"/>
        <v>0.56651358187649192</v>
      </c>
      <c r="BV42" s="59">
        <f t="shared" ca="1" si="40"/>
        <v>1</v>
      </c>
      <c r="BW42" s="59">
        <f t="shared" ca="1" si="41"/>
        <v>0.43348641812350802</v>
      </c>
      <c r="BX42" s="2">
        <f t="shared" si="42"/>
        <v>0.19083969465648856</v>
      </c>
      <c r="BY42" s="2">
        <f t="shared" si="43"/>
        <v>1</v>
      </c>
      <c r="BZ42" s="60">
        <f t="shared" ca="1" si="44"/>
        <v>0.75844027670890501</v>
      </c>
      <c r="CA42" s="60">
        <f t="shared" ca="1" si="45"/>
        <v>0.24155972329109496</v>
      </c>
      <c r="CB42" s="52">
        <v>0</v>
      </c>
      <c r="CC42" s="2"/>
      <c r="CD42" s="7"/>
      <c r="CE42" s="7"/>
      <c r="CF42" s="7"/>
      <c r="CG42" s="7">
        <f t="shared" si="46"/>
        <v>100</v>
      </c>
      <c r="CH42" s="9">
        <f t="shared" si="152"/>
        <v>3744.0713053479012</v>
      </c>
      <c r="CI42" s="7">
        <f t="shared" si="71"/>
        <v>22</v>
      </c>
      <c r="CJ42" s="9">
        <f t="shared" si="47"/>
        <v>1275.928694652099</v>
      </c>
      <c r="CK42" s="7">
        <f t="shared" ca="1" si="48"/>
        <v>2419.7595301440497</v>
      </c>
      <c r="CL42" s="7">
        <f t="shared" ca="1" si="49"/>
        <v>770.68222836078144</v>
      </c>
      <c r="CM42" s="7">
        <f t="shared" ca="1" si="50"/>
        <v>1851.5582414951691</v>
      </c>
      <c r="CN42" s="7">
        <f t="shared" ca="1" si="51"/>
        <v>3491.3400505380059</v>
      </c>
      <c r="CO42" s="7">
        <f t="shared" ca="1" si="52"/>
        <v>164.87828785511095</v>
      </c>
      <c r="CP42" s="7">
        <f t="shared" ca="1" si="53"/>
        <v>1385.7816616068833</v>
      </c>
      <c r="CQ42" s="7">
        <f t="array" aca="1" ref="CQ42" ca="1">(SUM(IF($AV$5:$BA$5=CQ$5,$AV42:$BA42))*BU42+SUM(IF($AV$5:$BA$5="B",$AV42:$BA42))*BR42)*$Q42</f>
        <v>2757.3051723573112</v>
      </c>
      <c r="CR42" s="7">
        <f t="array" aca="1" ref="CR42" ca="1">(SUM(IF($AV$5:$BA$5=CR$5,$AV42:$BA42))*BV42+SUM(IF($AV$5:$BA$5="B",$AV42:$BA42))*BS42)*$Q42</f>
        <v>174.85248479983764</v>
      </c>
      <c r="CS42" s="7">
        <f t="array" aca="1" ref="CS42" ca="1">(SUM(IF($AV$5:$BA$5=CS$5,$AV42:$BA42))*BW42+SUM(IF($AV$5:$BA$5="B",$AV42:$BA42))*BT42)*$Q42</f>
        <v>2109.8423428428505</v>
      </c>
      <c r="CT42" s="7">
        <f t="array" aca="1" ref="CT42" ca="1">(SUM(IF($BF$5:$BL$5=CT$5,IF($BF$4:$BL$4="B",$BF42:$BL42)))*BU42+SUM(IF($BF$5:$BL$5=CT$5,IF($BF$4:$BL$4=CT$4,$BF42:$BL42)))+SUM(IF($BF$5:$BL$5="B",$BF42:$BL42))*BZ42)*$Q42</f>
        <v>0</v>
      </c>
      <c r="CU42" s="7">
        <f t="array" aca="1" ref="CU42" ca="1">(SUM(IF($BF$5:$BL$5=CU$5,IF($BF$4:$BL$4="B",$BF42:$BL42)))*BV42+SUM(IF($BF$5:$BL$5=CU$5,IF($BF$4:$BL$4=CU$4,$BF42:$BL42)))+SUM(IF($BF$5:$BL$5="B",$BF42:$BL42))*CA42)*$Q42</f>
        <v>0</v>
      </c>
      <c r="CV42" s="7">
        <f t="array" aca="1" ref="CV42" ca="1">(SUM(IF($BF$5:$BL$5=CV$5,IF($BF$4:$BL$4="B",$BF42:$BL42)))*BW42+SUM(IF($BF$5:$BL$5=CV$5,IF($BF$4:$BL$4=CV$4,$BF42:$BL42)))+SUM(IF($BF$5:$BL$5="B",$BF42:$BL42))*CB42)*$Q42</f>
        <v>0</v>
      </c>
      <c r="CW42" s="7"/>
      <c r="CX42" s="9">
        <f t="shared" si="72"/>
        <v>5020</v>
      </c>
      <c r="CY42" s="9">
        <f t="shared" si="153"/>
        <v>-3744.0713053479012</v>
      </c>
      <c r="CZ42" s="9">
        <f t="shared" si="154"/>
        <v>1275.9286946520988</v>
      </c>
      <c r="DA42" s="9">
        <f t="shared" si="75"/>
        <v>22</v>
      </c>
      <c r="DB42" s="9">
        <f t="shared" si="155"/>
        <v>-1297.928694652099</v>
      </c>
      <c r="DC42" s="9">
        <f t="shared" si="156"/>
        <v>-1275.928694652099</v>
      </c>
      <c r="DD42" s="9">
        <f t="shared" si="78"/>
        <v>5020</v>
      </c>
      <c r="DE42" s="9">
        <f t="shared" ca="1" si="54"/>
        <v>-2419.7595301440497</v>
      </c>
      <c r="DF42" s="9">
        <f t="shared" ca="1" si="157"/>
        <v>2600.2404698559503</v>
      </c>
      <c r="DG42" s="9">
        <f t="shared" si="80"/>
        <v>22</v>
      </c>
      <c r="DH42" s="9">
        <f t="shared" ca="1" si="158"/>
        <v>-2622.2404698559503</v>
      </c>
      <c r="DI42" s="9">
        <f t="shared" ca="1" si="159"/>
        <v>-2600.2404698559503</v>
      </c>
      <c r="DJ42" s="9">
        <f t="shared" si="83"/>
        <v>5020</v>
      </c>
      <c r="DK42" s="9">
        <f t="shared" ca="1" si="55"/>
        <v>-3491.3400505380059</v>
      </c>
      <c r="DL42" s="9">
        <f t="shared" ca="1" si="160"/>
        <v>1528.6599494619941</v>
      </c>
      <c r="DM42" s="9">
        <f t="shared" si="85"/>
        <v>22</v>
      </c>
      <c r="DN42" s="9">
        <f t="shared" ca="1" si="56"/>
        <v>-1550.6599494619943</v>
      </c>
      <c r="DO42" s="9">
        <f t="shared" ca="1" si="161"/>
        <v>-1528.6599494619943</v>
      </c>
      <c r="DP42" s="9">
        <f t="shared" si="87"/>
        <v>5020</v>
      </c>
      <c r="DQ42" s="9">
        <f t="shared" ca="1" si="57"/>
        <v>-2757.3051723573112</v>
      </c>
      <c r="DR42" s="9">
        <f t="shared" ca="1" si="162"/>
        <v>2262.6948276426888</v>
      </c>
      <c r="DS42" s="9">
        <f t="shared" si="89"/>
        <v>22</v>
      </c>
      <c r="DT42" s="9">
        <f t="shared" ca="1" si="58"/>
        <v>-2284.6948276426883</v>
      </c>
      <c r="DU42" s="9">
        <f t="shared" ca="1" si="163"/>
        <v>-2262.6948276426883</v>
      </c>
    </row>
    <row r="43" spans="1:125" ht="14.45" x14ac:dyDescent="0.35">
      <c r="A43" s="16">
        <f t="shared" si="125"/>
        <v>1000</v>
      </c>
      <c r="B43" s="14">
        <f t="shared" si="145"/>
        <v>100</v>
      </c>
      <c r="C43" s="9">
        <f t="shared" si="16"/>
        <v>100</v>
      </c>
      <c r="D43" s="14">
        <f t="shared" si="17"/>
        <v>502</v>
      </c>
      <c r="E43" s="34">
        <f t="shared" si="92"/>
        <v>220</v>
      </c>
      <c r="F43" s="15">
        <f t="shared" si="164"/>
        <v>-100</v>
      </c>
      <c r="G43">
        <f t="shared" si="91"/>
        <v>10</v>
      </c>
      <c r="H43">
        <f t="shared" si="91"/>
        <v>1</v>
      </c>
      <c r="I43" s="5">
        <f>GenUnits!$V$12</f>
        <v>400</v>
      </c>
      <c r="J43" s="5">
        <f>GenUnits!$W$12</f>
        <v>122</v>
      </c>
      <c r="K43" s="14">
        <f t="shared" si="60"/>
        <v>502</v>
      </c>
      <c r="L43" s="14">
        <f t="shared" si="146"/>
        <v>502</v>
      </c>
      <c r="M43" s="14">
        <f t="shared" si="147"/>
        <v>122</v>
      </c>
      <c r="N43" s="34">
        <f>GenUnits!$V$11</f>
        <v>1297</v>
      </c>
      <c r="O43" s="34">
        <f>GenUnits!$W$11</f>
        <v>864</v>
      </c>
      <c r="P43" s="14">
        <f t="shared" si="19"/>
        <v>442</v>
      </c>
      <c r="Q43" s="14">
        <f t="shared" si="20"/>
        <v>1</v>
      </c>
      <c r="S43" s="7">
        <f t="shared" si="63"/>
        <v>502</v>
      </c>
      <c r="T43" s="7">
        <f t="shared" si="21"/>
        <v>22</v>
      </c>
      <c r="U43" s="7">
        <f t="shared" si="148"/>
        <v>524</v>
      </c>
      <c r="V43" s="7">
        <f t="shared" si="22"/>
        <v>5020</v>
      </c>
      <c r="W43" s="7">
        <f t="shared" si="23"/>
        <v>22</v>
      </c>
      <c r="X43" s="7">
        <f t="shared" si="149"/>
        <v>5042</v>
      </c>
      <c r="Y43" s="45"/>
      <c r="Z43" s="35"/>
      <c r="AA43" s="44">
        <f t="shared" si="66"/>
        <v>220</v>
      </c>
      <c r="AB43" s="7">
        <f t="shared" si="24"/>
        <v>402</v>
      </c>
      <c r="AC43" s="15">
        <f t="shared" si="25"/>
        <v>100</v>
      </c>
      <c r="AD43" s="8">
        <v>0</v>
      </c>
      <c r="AE43" s="15">
        <f t="shared" si="26"/>
        <v>0</v>
      </c>
      <c r="AF43" s="7">
        <f t="shared" si="67"/>
        <v>0</v>
      </c>
      <c r="AG43" s="7">
        <f t="shared" si="27"/>
        <v>22</v>
      </c>
      <c r="AH43" s="7">
        <f t="shared" si="150"/>
        <v>524</v>
      </c>
      <c r="AI43" s="7" t="b">
        <f t="shared" si="28"/>
        <v>1</v>
      </c>
      <c r="AJ43" s="7"/>
      <c r="AK43" s="7"/>
      <c r="AL43" s="7"/>
      <c r="AM43" s="7"/>
      <c r="AN43" s="7"/>
      <c r="AO43" s="7"/>
      <c r="AP43" s="7"/>
      <c r="AQ43" s="7"/>
      <c r="AR43" s="7"/>
      <c r="AS43" s="7"/>
      <c r="AT43" s="7"/>
      <c r="AU43" s="7"/>
      <c r="AV43" s="7">
        <f t="shared" si="29"/>
        <v>4020</v>
      </c>
      <c r="AW43" s="7">
        <f t="shared" si="30"/>
        <v>1000</v>
      </c>
      <c r="AX43" s="7">
        <f t="shared" si="31"/>
        <v>0</v>
      </c>
      <c r="AY43" s="30">
        <f t="shared" si="32"/>
        <v>0</v>
      </c>
      <c r="AZ43" s="30">
        <f t="shared" si="33"/>
        <v>0</v>
      </c>
      <c r="BA43" s="30">
        <f t="shared" si="34"/>
        <v>22</v>
      </c>
      <c r="BB43" s="7">
        <f t="shared" si="151"/>
        <v>5042</v>
      </c>
      <c r="BC43" s="7" t="b">
        <f t="shared" si="35"/>
        <v>1</v>
      </c>
      <c r="BD43" s="7"/>
      <c r="BE43" s="7"/>
      <c r="BF43" s="7"/>
      <c r="BG43" s="7"/>
      <c r="BH43" s="7"/>
      <c r="BI43" s="7"/>
      <c r="BJ43" s="7"/>
      <c r="BK43" s="7"/>
      <c r="BL43" s="7"/>
      <c r="BM43" s="7"/>
      <c r="BN43" s="7"/>
      <c r="BO43" s="7"/>
      <c r="BP43" s="7">
        <f>MATCH($A43,GenUnits!$AX$43:$AX$48,1)</f>
        <v>6</v>
      </c>
      <c r="BQ43" s="7"/>
      <c r="BR43" s="2">
        <f t="shared" ca="1" si="36"/>
        <v>0.47992057321381393</v>
      </c>
      <c r="BS43" s="2">
        <f t="shared" ca="1" si="37"/>
        <v>0.15285248479983765</v>
      </c>
      <c r="BT43" s="2">
        <f t="shared" ca="1" si="38"/>
        <v>0.36722694198634848</v>
      </c>
      <c r="BU43" s="59">
        <f t="shared" ca="1" si="39"/>
        <v>0.56651358187649192</v>
      </c>
      <c r="BV43" s="59">
        <f t="shared" ca="1" si="40"/>
        <v>1</v>
      </c>
      <c r="BW43" s="59">
        <f t="shared" ca="1" si="41"/>
        <v>0.43348641812350802</v>
      </c>
      <c r="BX43" s="2">
        <f t="shared" si="42"/>
        <v>0.19083969465648856</v>
      </c>
      <c r="BY43" s="2">
        <f t="shared" si="43"/>
        <v>1</v>
      </c>
      <c r="BZ43" s="60">
        <f t="shared" ca="1" si="44"/>
        <v>0.75844027670890501</v>
      </c>
      <c r="CA43" s="60">
        <f t="shared" ca="1" si="45"/>
        <v>0.24155972329109496</v>
      </c>
      <c r="CB43" s="52">
        <v>0</v>
      </c>
      <c r="CC43" s="2"/>
      <c r="CD43" s="7"/>
      <c r="CE43" s="7"/>
      <c r="CF43" s="7"/>
      <c r="CG43" s="7">
        <f t="shared" si="46"/>
        <v>220</v>
      </c>
      <c r="CH43" s="9">
        <f t="shared" si="152"/>
        <v>3744.0713053479012</v>
      </c>
      <c r="CI43" s="7">
        <f t="shared" si="71"/>
        <v>22</v>
      </c>
      <c r="CJ43" s="9">
        <f t="shared" si="47"/>
        <v>1275.928694652099</v>
      </c>
      <c r="CK43" s="7">
        <f t="shared" ca="1" si="48"/>
        <v>2419.7595301440497</v>
      </c>
      <c r="CL43" s="7">
        <f t="shared" ca="1" si="49"/>
        <v>770.68222836078144</v>
      </c>
      <c r="CM43" s="7">
        <f t="shared" ca="1" si="50"/>
        <v>1851.5582414951691</v>
      </c>
      <c r="CN43" s="7">
        <f t="shared" ca="1" si="51"/>
        <v>3491.3400505380059</v>
      </c>
      <c r="CO43" s="7">
        <f t="shared" ca="1" si="52"/>
        <v>164.87828785511095</v>
      </c>
      <c r="CP43" s="7">
        <f t="shared" ca="1" si="53"/>
        <v>1385.7816616068833</v>
      </c>
      <c r="CQ43" s="7">
        <f t="array" aca="1" ref="CQ43" ca="1">(SUM(IF($AV$5:$BA$5=CQ$5,$AV43:$BA43))*BU43+SUM(IF($AV$5:$BA$5="B",$AV43:$BA43))*BR43)*$Q43</f>
        <v>2757.3051723573112</v>
      </c>
      <c r="CR43" s="7">
        <f t="array" aca="1" ref="CR43" ca="1">(SUM(IF($AV$5:$BA$5=CR$5,$AV43:$BA43))*BV43+SUM(IF($AV$5:$BA$5="B",$AV43:$BA43))*BS43)*$Q43</f>
        <v>174.85248479983764</v>
      </c>
      <c r="CS43" s="7">
        <f t="array" aca="1" ref="CS43" ca="1">(SUM(IF($AV$5:$BA$5=CS$5,$AV43:$BA43))*BW43+SUM(IF($AV$5:$BA$5="B",$AV43:$BA43))*BT43)*$Q43</f>
        <v>2109.8423428428505</v>
      </c>
      <c r="CT43" s="7">
        <f t="array" aca="1" ref="CT43" ca="1">(SUM(IF($BF$5:$BL$5=CT$5,IF($BF$4:$BL$4="B",$BF43:$BL43)))*BU43+SUM(IF($BF$5:$BL$5=CT$5,IF($BF$4:$BL$4=CT$4,$BF43:$BL43)))+SUM(IF($BF$5:$BL$5="B",$BF43:$BL43))*BZ43)*$Q43</f>
        <v>0</v>
      </c>
      <c r="CU43" s="7">
        <f t="array" aca="1" ref="CU43" ca="1">(SUM(IF($BF$5:$BL$5=CU$5,IF($BF$4:$BL$4="B",$BF43:$BL43)))*BV43+SUM(IF($BF$5:$BL$5=CU$5,IF($BF$4:$BL$4=CU$4,$BF43:$BL43)))+SUM(IF($BF$5:$BL$5="B",$BF43:$BL43))*CA43)*$Q43</f>
        <v>0</v>
      </c>
      <c r="CV43" s="7">
        <f t="array" aca="1" ref="CV43" ca="1">(SUM(IF($BF$5:$BL$5=CV$5,IF($BF$4:$BL$4="B",$BF43:$BL43)))*BW43+SUM(IF($BF$5:$BL$5=CV$5,IF($BF$4:$BL$4=CV$4,$BF43:$BL43)))+SUM(IF($BF$5:$BL$5="B",$BF43:$BL43))*CB43)*$Q43</f>
        <v>0</v>
      </c>
      <c r="CW43" s="7"/>
      <c r="CX43" s="9">
        <f t="shared" si="72"/>
        <v>5020</v>
      </c>
      <c r="CY43" s="9">
        <f t="shared" si="153"/>
        <v>-3744.0713053479012</v>
      </c>
      <c r="CZ43" s="9">
        <f t="shared" si="154"/>
        <v>1275.9286946520988</v>
      </c>
      <c r="DA43" s="9">
        <f t="shared" si="75"/>
        <v>22</v>
      </c>
      <c r="DB43" s="9">
        <f t="shared" si="155"/>
        <v>-1297.928694652099</v>
      </c>
      <c r="DC43" s="9">
        <f t="shared" si="156"/>
        <v>-1275.928694652099</v>
      </c>
      <c r="DD43" s="9">
        <f t="shared" si="78"/>
        <v>5020</v>
      </c>
      <c r="DE43" s="9">
        <f t="shared" ca="1" si="54"/>
        <v>-2419.7595301440497</v>
      </c>
      <c r="DF43" s="9">
        <f t="shared" ca="1" si="157"/>
        <v>2600.2404698559503</v>
      </c>
      <c r="DG43" s="9">
        <f t="shared" si="80"/>
        <v>22</v>
      </c>
      <c r="DH43" s="9">
        <f t="shared" ca="1" si="158"/>
        <v>-2622.2404698559503</v>
      </c>
      <c r="DI43" s="9">
        <f t="shared" ca="1" si="159"/>
        <v>-2600.2404698559503</v>
      </c>
      <c r="DJ43" s="9">
        <f t="shared" si="83"/>
        <v>5020</v>
      </c>
      <c r="DK43" s="9">
        <f t="shared" ca="1" si="55"/>
        <v>-3491.3400505380059</v>
      </c>
      <c r="DL43" s="9">
        <f t="shared" ca="1" si="160"/>
        <v>1528.6599494619941</v>
      </c>
      <c r="DM43" s="9">
        <f t="shared" si="85"/>
        <v>22</v>
      </c>
      <c r="DN43" s="9">
        <f t="shared" ca="1" si="56"/>
        <v>-1550.6599494619943</v>
      </c>
      <c r="DO43" s="9">
        <f t="shared" ca="1" si="161"/>
        <v>-1528.6599494619943</v>
      </c>
      <c r="DP43" s="9">
        <f t="shared" si="87"/>
        <v>5020</v>
      </c>
      <c r="DQ43" s="9">
        <f t="shared" ca="1" si="57"/>
        <v>-2757.3051723573112</v>
      </c>
      <c r="DR43" s="9">
        <f t="shared" ca="1" si="162"/>
        <v>2262.6948276426888</v>
      </c>
      <c r="DS43" s="9">
        <f t="shared" si="89"/>
        <v>22</v>
      </c>
      <c r="DT43" s="9">
        <f t="shared" ca="1" si="58"/>
        <v>-2284.6948276426883</v>
      </c>
      <c r="DU43" s="9">
        <f t="shared" ca="1" si="163"/>
        <v>-2262.6948276426883</v>
      </c>
    </row>
    <row r="44" spans="1:125" ht="14.45" x14ac:dyDescent="0.35">
      <c r="A44" s="16">
        <f>A32</f>
        <v>600</v>
      </c>
      <c r="B44" s="55">
        <f>$C$1</f>
        <v>220</v>
      </c>
      <c r="C44" s="9">
        <f t="shared" si="16"/>
        <v>220</v>
      </c>
      <c r="D44" s="14">
        <f t="shared" si="17"/>
        <v>102</v>
      </c>
      <c r="E44" s="34">
        <f t="shared" si="92"/>
        <v>0</v>
      </c>
      <c r="F44" s="15">
        <f t="shared" si="164"/>
        <v>0</v>
      </c>
      <c r="G44">
        <f t="shared" si="91"/>
        <v>10</v>
      </c>
      <c r="H44">
        <f t="shared" si="91"/>
        <v>1</v>
      </c>
      <c r="I44" s="5">
        <f>GenUnits!$V$12</f>
        <v>400</v>
      </c>
      <c r="J44" s="5">
        <f>GenUnits!$W$12</f>
        <v>122</v>
      </c>
      <c r="K44" s="14">
        <f>$D44</f>
        <v>102</v>
      </c>
      <c r="L44" s="14">
        <f>MAX(I44,K44)</f>
        <v>400</v>
      </c>
      <c r="M44" s="14">
        <f>J44</f>
        <v>122</v>
      </c>
      <c r="N44" s="34">
        <f>GenUnits!$V$11</f>
        <v>1297</v>
      </c>
      <c r="O44" s="34">
        <f>GenUnits!$W$11</f>
        <v>864</v>
      </c>
      <c r="P44" s="14">
        <f t="shared" si="19"/>
        <v>42</v>
      </c>
      <c r="Q44" s="14">
        <f t="shared" si="20"/>
        <v>1</v>
      </c>
      <c r="S44" s="7">
        <f>$L44-MAX($F44,0)</f>
        <v>400</v>
      </c>
      <c r="T44" s="7">
        <f t="shared" si="21"/>
        <v>0</v>
      </c>
      <c r="U44" s="7">
        <f>SUM(S44:T44)</f>
        <v>400</v>
      </c>
      <c r="V44" s="7">
        <f t="shared" si="22"/>
        <v>4000</v>
      </c>
      <c r="W44" s="7">
        <f t="shared" si="23"/>
        <v>0</v>
      </c>
      <c r="X44" s="7">
        <f>SUM(V44:W44)</f>
        <v>4000</v>
      </c>
      <c r="Y44" s="45" t="str">
        <f>$C44&amp;" MW"</f>
        <v>220 MW</v>
      </c>
      <c r="Z44" s="46" t="str">
        <f>$D44&amp;" MW"</f>
        <v>102 MW</v>
      </c>
      <c r="AA44" s="44">
        <f>$E44</f>
        <v>0</v>
      </c>
      <c r="AB44" s="7">
        <f t="shared" si="24"/>
        <v>278</v>
      </c>
      <c r="AC44" s="15">
        <f t="shared" si="25"/>
        <v>122</v>
      </c>
      <c r="AD44" s="8">
        <v>0</v>
      </c>
      <c r="AE44" s="15">
        <f t="shared" si="26"/>
        <v>0</v>
      </c>
      <c r="AF44" s="7">
        <f t="shared" si="67"/>
        <v>0</v>
      </c>
      <c r="AG44" s="7">
        <f t="shared" si="27"/>
        <v>0</v>
      </c>
      <c r="AH44" s="7">
        <f>SUM(AB44:AG44)</f>
        <v>400</v>
      </c>
      <c r="AI44" s="7" t="b">
        <f t="shared" si="28"/>
        <v>1</v>
      </c>
      <c r="AJ44" s="7"/>
      <c r="AK44" s="7"/>
      <c r="AL44" s="7"/>
      <c r="AM44" s="7"/>
      <c r="AN44" s="7"/>
      <c r="AO44" s="7"/>
      <c r="AP44" s="7"/>
      <c r="AQ44" s="7"/>
      <c r="AR44" s="7"/>
      <c r="AS44" s="7"/>
      <c r="AT44" s="7"/>
      <c r="AU44" s="7"/>
      <c r="AV44" s="7">
        <f t="shared" si="29"/>
        <v>2780</v>
      </c>
      <c r="AW44" s="7">
        <f t="shared" si="30"/>
        <v>1220</v>
      </c>
      <c r="AX44" s="7">
        <f t="shared" si="31"/>
        <v>0</v>
      </c>
      <c r="AY44" s="30">
        <f t="shared" si="32"/>
        <v>0</v>
      </c>
      <c r="AZ44" s="30">
        <f t="shared" si="33"/>
        <v>0</v>
      </c>
      <c r="BA44" s="30">
        <f t="shared" si="34"/>
        <v>0</v>
      </c>
      <c r="BB44" s="7">
        <f>SUM(AV44:BA44)</f>
        <v>4000</v>
      </c>
      <c r="BC44" s="7" t="b">
        <f t="shared" si="35"/>
        <v>1</v>
      </c>
      <c r="BD44" s="7"/>
      <c r="BE44" s="7"/>
      <c r="BF44" s="7"/>
      <c r="BG44" s="7"/>
      <c r="BH44" s="7"/>
      <c r="BI44" s="7"/>
      <c r="BJ44" s="7"/>
      <c r="BK44" s="7"/>
      <c r="BL44" s="7"/>
      <c r="BM44" s="7"/>
      <c r="BN44" s="7"/>
      <c r="BO44" s="7"/>
      <c r="BP44" s="7">
        <f>MATCH($A44,GenUnits!$AX$43:$AX$48,1)</f>
        <v>2</v>
      </c>
      <c r="BQ44" s="7"/>
      <c r="BR44" s="2">
        <f t="shared" ca="1" si="36"/>
        <v>0.79761451621591573</v>
      </c>
      <c r="BS44" s="2">
        <f t="shared" ca="1" si="37"/>
        <v>0.19400699889136805</v>
      </c>
      <c r="BT44" s="2">
        <f t="shared" ca="1" si="38"/>
        <v>8.3784848927162189E-3</v>
      </c>
      <c r="BU44" s="59">
        <f t="shared" ca="1" si="39"/>
        <v>0.98960476718632573</v>
      </c>
      <c r="BV44" s="59">
        <f t="shared" ca="1" si="40"/>
        <v>1</v>
      </c>
      <c r="BW44" s="59">
        <f t="shared" ca="1" si="41"/>
        <v>1.0395232813674229E-2</v>
      </c>
      <c r="BX44" s="2">
        <f t="shared" si="42"/>
        <v>0.55000000000000004</v>
      </c>
      <c r="BY44" s="2">
        <f t="shared" si="43"/>
        <v>1</v>
      </c>
      <c r="BZ44" s="60">
        <f t="shared" ca="1" si="44"/>
        <v>0.80435378222871823</v>
      </c>
      <c r="CA44" s="60">
        <f t="shared" ca="1" si="45"/>
        <v>0.1956462177712818</v>
      </c>
      <c r="CB44" s="52">
        <v>0</v>
      </c>
      <c r="CC44" s="2"/>
      <c r="CD44" s="7"/>
      <c r="CE44" s="7"/>
      <c r="CF44" s="7"/>
      <c r="CG44" s="7">
        <f t="shared" si="46"/>
        <v>0</v>
      </c>
      <c r="CH44" s="9">
        <f>$V44-CJ44</f>
        <v>3874.5332337565346</v>
      </c>
      <c r="CI44" s="7">
        <f>$W44</f>
        <v>0</v>
      </c>
      <c r="CJ44" s="9">
        <f t="shared" si="47"/>
        <v>125.46676624346527</v>
      </c>
      <c r="CK44" s="7">
        <f t="shared" ca="1" si="48"/>
        <v>3190.4580648636629</v>
      </c>
      <c r="CL44" s="7">
        <f t="shared" ca="1" si="49"/>
        <v>776.02799556547222</v>
      </c>
      <c r="CM44" s="7">
        <f t="shared" ca="1" si="50"/>
        <v>33.513939570864878</v>
      </c>
      <c r="CN44" s="7">
        <f t="shared" ca="1" si="51"/>
        <v>3498.2918908654551</v>
      </c>
      <c r="CO44" s="7">
        <f t="shared" ca="1" si="52"/>
        <v>426.81539756100972</v>
      </c>
      <c r="CP44" s="7">
        <f t="shared" ca="1" si="53"/>
        <v>74.892711573535053</v>
      </c>
      <c r="CQ44" s="7">
        <f t="array" aca="1" ref="CQ44" ca="1">(SUM(IF($AV$5:$BA$5=CQ$5,$AV44:$BA44))*BU44+SUM(IF($AV$5:$BA$5="B",$AV44:$BA44))*BR44)*$Q44</f>
        <v>3724.1909625614026</v>
      </c>
      <c r="CR44" s="7">
        <f t="array" aca="1" ref="CR44" ca="1">(SUM(IF($AV$5:$BA$5=CR$5,$AV44:$BA44))*BV44+SUM(IF($AV$5:$BA$5="B",$AV44:$BA44))*BS44)*$Q44</f>
        <v>236.68853864746902</v>
      </c>
      <c r="CS44" s="7">
        <f t="array" aca="1" ref="CS44" ca="1">(SUM(IF($AV$5:$BA$5=CS$5,$AV44:$BA44))*BW44+SUM(IF($AV$5:$BA$5="B",$AV44:$BA44))*BT44)*$Q44</f>
        <v>39.120498791128142</v>
      </c>
      <c r="CT44" s="7">
        <f t="array" aca="1" ref="CT44" ca="1">(SUM(IF($BF$5:$BL$5=CT$5,IF($BF$4:$BL$4="B",$BF44:$BL44)))*BU44+SUM(IF($BF$5:$BL$5=CT$5,IF($BF$4:$BL$4=CT$4,$BF44:$BL44)))+SUM(IF($BF$5:$BL$5="B",$BF44:$BL44))*BZ44)*$Q44</f>
        <v>0</v>
      </c>
      <c r="CU44" s="7">
        <f t="array" aca="1" ref="CU44" ca="1">(SUM(IF($BF$5:$BL$5=CU$5,IF($BF$4:$BL$4="B",$BF44:$BL44)))*BV44+SUM(IF($BF$5:$BL$5=CU$5,IF($BF$4:$BL$4=CU$4,$BF44:$BL44)))+SUM(IF($BF$5:$BL$5="B",$BF44:$BL44))*CA44)*$Q44</f>
        <v>0</v>
      </c>
      <c r="CV44" s="7">
        <f t="array" aca="1" ref="CV44" ca="1">(SUM(IF($BF$5:$BL$5=CV$5,IF($BF$4:$BL$4="B",$BF44:$BL44)))*BW44+SUM(IF($BF$5:$BL$5=CV$5,IF($BF$4:$BL$4=CV$4,$BF44:$BL44)))+SUM(IF($BF$5:$BL$5="B",$BF44:$BL44))*CB44)*$Q44</f>
        <v>0</v>
      </c>
      <c r="CW44" s="7"/>
      <c r="CX44" s="9">
        <f>$V44</f>
        <v>4000</v>
      </c>
      <c r="CY44" s="9">
        <f>-CH44</f>
        <v>-3874.5332337565346</v>
      </c>
      <c r="CZ44" s="9">
        <f>SUM(CX44:CY44)</f>
        <v>125.46676624346537</v>
      </c>
      <c r="DA44" s="9">
        <f>$W44</f>
        <v>0</v>
      </c>
      <c r="DB44" s="9">
        <f>-SUM(CI44:CJ44)</f>
        <v>-125.46676624346527</v>
      </c>
      <c r="DC44" s="9">
        <f>SUM(DA44:DB44)</f>
        <v>-125.46676624346527</v>
      </c>
      <c r="DD44" s="9">
        <f>$V44</f>
        <v>4000</v>
      </c>
      <c r="DE44" s="9">
        <f t="shared" ca="1" si="54"/>
        <v>-3190.4580648636629</v>
      </c>
      <c r="DF44" s="9">
        <f ca="1">SUM(DD44:DE44)</f>
        <v>809.54193513633709</v>
      </c>
      <c r="DG44" s="9">
        <f>$W44</f>
        <v>0</v>
      </c>
      <c r="DH44" s="9">
        <f ca="1">-SUM(CL44:CM44)</f>
        <v>-809.54193513633709</v>
      </c>
      <c r="DI44" s="9">
        <f ca="1">SUM(DG44:DH44)</f>
        <v>-809.54193513633709</v>
      </c>
      <c r="DJ44" s="9">
        <f>$V44</f>
        <v>4000</v>
      </c>
      <c r="DK44" s="9">
        <f t="shared" ca="1" si="55"/>
        <v>-3498.2918908654551</v>
      </c>
      <c r="DL44" s="9">
        <f ca="1">SUM(DJ44:DK44)</f>
        <v>501.70810913454488</v>
      </c>
      <c r="DM44" s="9">
        <f>$W44</f>
        <v>0</v>
      </c>
      <c r="DN44" s="9">
        <f t="shared" ca="1" si="56"/>
        <v>-501.70810913454477</v>
      </c>
      <c r="DO44" s="9">
        <f ca="1">SUM(DM44:DN44)</f>
        <v>-501.70810913454477</v>
      </c>
      <c r="DP44" s="9">
        <f>$V44</f>
        <v>4000</v>
      </c>
      <c r="DQ44" s="9">
        <f t="shared" ca="1" si="57"/>
        <v>-3724.1909625614026</v>
      </c>
      <c r="DR44" s="9">
        <f ca="1">SUM(DP44:DQ44)</f>
        <v>275.80903743859744</v>
      </c>
      <c r="DS44" s="9">
        <f>$W44</f>
        <v>0</v>
      </c>
      <c r="DT44" s="9">
        <f t="shared" ca="1" si="58"/>
        <v>-275.80903743859716</v>
      </c>
      <c r="DU44" s="9">
        <f ca="1">SUM(DS44:DT44)</f>
        <v>-275.80903743859716</v>
      </c>
    </row>
    <row r="45" spans="1:125" ht="14.45" x14ac:dyDescent="0.35">
      <c r="A45" s="16">
        <f t="shared" si="125"/>
        <v>600</v>
      </c>
      <c r="B45" s="14">
        <f t="shared" ref="B45:B55" si="165">B44</f>
        <v>220</v>
      </c>
      <c r="C45" s="9">
        <f t="shared" si="16"/>
        <v>220</v>
      </c>
      <c r="D45" s="14">
        <f t="shared" si="17"/>
        <v>102</v>
      </c>
      <c r="E45" s="34">
        <f t="shared" si="92"/>
        <v>10</v>
      </c>
      <c r="F45" s="15">
        <f t="shared" si="164"/>
        <v>10</v>
      </c>
      <c r="G45">
        <f t="shared" si="91"/>
        <v>10</v>
      </c>
      <c r="H45">
        <f t="shared" si="91"/>
        <v>1</v>
      </c>
      <c r="I45" s="5">
        <f>GenUnits!$V$12</f>
        <v>400</v>
      </c>
      <c r="J45" s="5">
        <f>GenUnits!$W$12</f>
        <v>122</v>
      </c>
      <c r="K45" s="14">
        <f t="shared" si="60"/>
        <v>102</v>
      </c>
      <c r="L45" s="14">
        <f t="shared" ref="L45:L55" si="166">MAX(I45,K45)</f>
        <v>400</v>
      </c>
      <c r="M45" s="14">
        <f t="shared" ref="M45:M55" si="167">J45</f>
        <v>122</v>
      </c>
      <c r="N45" s="34">
        <f>GenUnits!$V$11</f>
        <v>1297</v>
      </c>
      <c r="O45" s="34">
        <f>GenUnits!$W$11</f>
        <v>864</v>
      </c>
      <c r="P45" s="14">
        <f t="shared" si="19"/>
        <v>42</v>
      </c>
      <c r="Q45" s="14">
        <f t="shared" si="20"/>
        <v>1</v>
      </c>
      <c r="S45" s="7">
        <f t="shared" si="63"/>
        <v>390</v>
      </c>
      <c r="T45" s="7">
        <f t="shared" si="21"/>
        <v>10</v>
      </c>
      <c r="U45" s="7">
        <f t="shared" ref="U45:U55" si="168">SUM(S45:T45)</f>
        <v>400</v>
      </c>
      <c r="V45" s="7">
        <f t="shared" si="22"/>
        <v>3900</v>
      </c>
      <c r="W45" s="7">
        <f t="shared" si="23"/>
        <v>10</v>
      </c>
      <c r="X45" s="7">
        <f t="shared" ref="X45:X55" si="169">SUM(V45:W45)</f>
        <v>3910</v>
      </c>
      <c r="Y45" s="35"/>
      <c r="Z45" s="46"/>
      <c r="AA45" s="44">
        <f t="shared" si="66"/>
        <v>10</v>
      </c>
      <c r="AB45" s="7">
        <f t="shared" si="24"/>
        <v>278</v>
      </c>
      <c r="AC45" s="15">
        <f t="shared" si="25"/>
        <v>112</v>
      </c>
      <c r="AD45" s="8">
        <v>0</v>
      </c>
      <c r="AE45" s="15">
        <f t="shared" si="26"/>
        <v>0</v>
      </c>
      <c r="AF45" s="7">
        <f t="shared" si="67"/>
        <v>10</v>
      </c>
      <c r="AG45" s="7">
        <f t="shared" si="27"/>
        <v>0</v>
      </c>
      <c r="AH45" s="7">
        <f t="shared" ref="AH45:AH55" si="170">SUM(AB45:AG45)</f>
        <v>400</v>
      </c>
      <c r="AI45" s="7" t="b">
        <f t="shared" si="28"/>
        <v>1</v>
      </c>
      <c r="AJ45" s="7"/>
      <c r="AK45" s="7"/>
      <c r="AL45" s="7"/>
      <c r="AM45" s="7"/>
      <c r="AN45" s="7"/>
      <c r="AO45" s="7"/>
      <c r="AP45" s="7"/>
      <c r="AQ45" s="7"/>
      <c r="AR45" s="7"/>
      <c r="AS45" s="7"/>
      <c r="AT45" s="7"/>
      <c r="AU45" s="7"/>
      <c r="AV45" s="7">
        <f t="shared" si="29"/>
        <v>2780</v>
      </c>
      <c r="AW45" s="7">
        <f t="shared" si="30"/>
        <v>1120</v>
      </c>
      <c r="AX45" s="7">
        <f t="shared" si="31"/>
        <v>0</v>
      </c>
      <c r="AY45" s="30">
        <f t="shared" si="32"/>
        <v>0</v>
      </c>
      <c r="AZ45" s="30">
        <f t="shared" si="33"/>
        <v>10</v>
      </c>
      <c r="BA45" s="30">
        <f t="shared" si="34"/>
        <v>0</v>
      </c>
      <c r="BB45" s="7">
        <f t="shared" ref="BB45:BB55" si="171">SUM(AV45:BA45)</f>
        <v>3910</v>
      </c>
      <c r="BC45" s="7" t="b">
        <f t="shared" si="35"/>
        <v>1</v>
      </c>
      <c r="BD45" s="7"/>
      <c r="BE45" s="7"/>
      <c r="BF45" s="7"/>
      <c r="BG45" s="7"/>
      <c r="BH45" s="7"/>
      <c r="BI45" s="7"/>
      <c r="BJ45" s="7"/>
      <c r="BK45" s="7"/>
      <c r="BL45" s="7"/>
      <c r="BM45" s="7"/>
      <c r="BN45" s="7"/>
      <c r="BO45" s="7"/>
      <c r="BP45" s="7">
        <f>MATCH($A45,GenUnits!$AX$43:$AX$48,1)</f>
        <v>2</v>
      </c>
      <c r="BQ45" s="7"/>
      <c r="BR45" s="2">
        <f t="shared" ca="1" si="36"/>
        <v>0.79761451621591573</v>
      </c>
      <c r="BS45" s="2">
        <f t="shared" ca="1" si="37"/>
        <v>0.19400699889136805</v>
      </c>
      <c r="BT45" s="2">
        <f t="shared" ca="1" si="38"/>
        <v>8.3784848927162189E-3</v>
      </c>
      <c r="BU45" s="59">
        <f t="shared" ca="1" si="39"/>
        <v>0.98960476718632573</v>
      </c>
      <c r="BV45" s="59">
        <f t="shared" ca="1" si="40"/>
        <v>1</v>
      </c>
      <c r="BW45" s="59">
        <f t="shared" ca="1" si="41"/>
        <v>1.0395232813674229E-2</v>
      </c>
      <c r="BX45" s="2">
        <f t="shared" si="42"/>
        <v>0.55000000000000004</v>
      </c>
      <c r="BY45" s="2">
        <f t="shared" si="43"/>
        <v>0.91803278688524592</v>
      </c>
      <c r="BZ45" s="60">
        <f t="shared" ca="1" si="44"/>
        <v>0.80435378222871823</v>
      </c>
      <c r="CA45" s="60">
        <f t="shared" ca="1" si="45"/>
        <v>0.1956462177712818</v>
      </c>
      <c r="CB45" s="52">
        <v>0</v>
      </c>
      <c r="CC45" s="2"/>
      <c r="CD45" s="7"/>
      <c r="CE45" s="7"/>
      <c r="CF45" s="7"/>
      <c r="CG45" s="7">
        <f t="shared" si="46"/>
        <v>10</v>
      </c>
      <c r="CH45" s="9">
        <f t="shared" ref="CH45:CH55" si="172">$V45-CJ45</f>
        <v>3777.6699029126212</v>
      </c>
      <c r="CI45" s="7">
        <f t="shared" si="71"/>
        <v>10</v>
      </c>
      <c r="CJ45" s="9">
        <f t="shared" si="47"/>
        <v>122.33009708737865</v>
      </c>
      <c r="CK45" s="7">
        <f t="shared" ca="1" si="48"/>
        <v>3118.6727584042305</v>
      </c>
      <c r="CL45" s="7">
        <f t="shared" ca="1" si="49"/>
        <v>758.5673656652491</v>
      </c>
      <c r="CM45" s="7">
        <f t="shared" ca="1" si="50"/>
        <v>32.759875930520415</v>
      </c>
      <c r="CN45" s="7">
        <f t="shared" ca="1" si="51"/>
        <v>3415.2214734330064</v>
      </c>
      <c r="CO45" s="7">
        <f t="shared" ca="1" si="52"/>
        <v>421.71205111588699</v>
      </c>
      <c r="CP45" s="7">
        <f t="shared" ca="1" si="53"/>
        <v>73.066475451106612</v>
      </c>
      <c r="CQ45" s="7">
        <f t="array" aca="1" ref="CQ45" ca="1">(SUM(IF($AV$5:$BA$5=CQ$5,$AV45:$BA45))*BU45+SUM(IF($AV$5:$BA$5="B",$AV45:$BA45))*BR45)*$Q45</f>
        <v>3652.4056561019702</v>
      </c>
      <c r="CR45" s="7">
        <f t="array" aca="1" ref="CR45" ca="1">(SUM(IF($AV$5:$BA$5=CR$5,$AV45:$BA45))*BV45+SUM(IF($AV$5:$BA$5="B",$AV45:$BA45))*BS45)*$Q45</f>
        <v>219.22790874724589</v>
      </c>
      <c r="CS45" s="7">
        <f t="array" aca="1" ref="CS45" ca="1">(SUM(IF($AV$5:$BA$5=CS$5,$AV45:$BA45))*BW45+SUM(IF($AV$5:$BA$5="B",$AV45:$BA45))*BT45)*$Q45</f>
        <v>38.366435150783687</v>
      </c>
      <c r="CT45" s="7">
        <f t="array" aca="1" ref="CT45" ca="1">(SUM(IF($BF$5:$BL$5=CT$5,IF($BF$4:$BL$4="B",$BF45:$BL45)))*BU45+SUM(IF($BF$5:$BL$5=CT$5,IF($BF$4:$BL$4=CT$4,$BF45:$BL45)))+SUM(IF($BF$5:$BL$5="B",$BF45:$BL45))*BZ45)*$Q45</f>
        <v>0</v>
      </c>
      <c r="CU45" s="7">
        <f t="array" aca="1" ref="CU45" ca="1">(SUM(IF($BF$5:$BL$5=CU$5,IF($BF$4:$BL$4="B",$BF45:$BL45)))*BV45+SUM(IF($BF$5:$BL$5=CU$5,IF($BF$4:$BL$4=CU$4,$BF45:$BL45)))+SUM(IF($BF$5:$BL$5="B",$BF45:$BL45))*CA45)*$Q45</f>
        <v>0</v>
      </c>
      <c r="CV45" s="7">
        <f t="array" aca="1" ref="CV45" ca="1">(SUM(IF($BF$5:$BL$5=CV$5,IF($BF$4:$BL$4="B",$BF45:$BL45)))*BW45+SUM(IF($BF$5:$BL$5=CV$5,IF($BF$4:$BL$4=CV$4,$BF45:$BL45)))+SUM(IF($BF$5:$BL$5="B",$BF45:$BL45))*CB45)*$Q45</f>
        <v>0</v>
      </c>
      <c r="CW45" s="7"/>
      <c r="CX45" s="9">
        <f t="shared" si="72"/>
        <v>3900</v>
      </c>
      <c r="CY45" s="9">
        <f t="shared" ref="CY45:CY55" si="173">-CH45</f>
        <v>-3777.6699029126212</v>
      </c>
      <c r="CZ45" s="9">
        <f t="shared" ref="CZ45:CZ55" si="174">SUM(CX45:CY45)</f>
        <v>122.33009708737882</v>
      </c>
      <c r="DA45" s="9">
        <f t="shared" si="75"/>
        <v>10</v>
      </c>
      <c r="DB45" s="9">
        <f t="shared" ref="DB45:DB55" si="175">-SUM(CI45:CJ45)</f>
        <v>-132.33009708737865</v>
      </c>
      <c r="DC45" s="9">
        <f t="shared" ref="DC45:DC55" si="176">SUM(DA45:DB45)</f>
        <v>-122.33009708737865</v>
      </c>
      <c r="DD45" s="9">
        <f t="shared" si="78"/>
        <v>3900</v>
      </c>
      <c r="DE45" s="9">
        <f t="shared" ca="1" si="54"/>
        <v>-3118.6727584042305</v>
      </c>
      <c r="DF45" s="9">
        <f t="shared" ref="DF45:DF55" ca="1" si="177">SUM(DD45:DE45)</f>
        <v>781.32724159576946</v>
      </c>
      <c r="DG45" s="9">
        <f t="shared" si="80"/>
        <v>10</v>
      </c>
      <c r="DH45" s="9">
        <f t="shared" ref="DH45:DH55" ca="1" si="178">-SUM(CL45:CM45)</f>
        <v>-791.32724159576946</v>
      </c>
      <c r="DI45" s="9">
        <f t="shared" ref="DI45:DI55" ca="1" si="179">SUM(DG45:DH45)</f>
        <v>-781.32724159576946</v>
      </c>
      <c r="DJ45" s="9">
        <f t="shared" si="83"/>
        <v>3900</v>
      </c>
      <c r="DK45" s="9">
        <f t="shared" ca="1" si="55"/>
        <v>-3415.2214734330064</v>
      </c>
      <c r="DL45" s="9">
        <f t="shared" ref="DL45:DL55" ca="1" si="180">SUM(DJ45:DK45)</f>
        <v>484.77852656699361</v>
      </c>
      <c r="DM45" s="9">
        <f t="shared" si="85"/>
        <v>10</v>
      </c>
      <c r="DN45" s="9">
        <f t="shared" ca="1" si="56"/>
        <v>-494.77852656699361</v>
      </c>
      <c r="DO45" s="9">
        <f t="shared" ref="DO45:DO55" ca="1" si="181">SUM(DM45:DN45)</f>
        <v>-484.77852656699361</v>
      </c>
      <c r="DP45" s="9">
        <f t="shared" si="87"/>
        <v>3900</v>
      </c>
      <c r="DQ45" s="9">
        <f t="shared" ca="1" si="57"/>
        <v>-3652.4056561019702</v>
      </c>
      <c r="DR45" s="9">
        <f t="shared" ref="DR45:DR55" ca="1" si="182">SUM(DP45:DQ45)</f>
        <v>247.59434389802982</v>
      </c>
      <c r="DS45" s="9">
        <f t="shared" si="89"/>
        <v>10</v>
      </c>
      <c r="DT45" s="9">
        <f t="shared" ca="1" si="58"/>
        <v>-257.59434389802959</v>
      </c>
      <c r="DU45" s="9">
        <f t="shared" ref="DU45:DU55" ca="1" si="183">SUM(DS45:DT45)</f>
        <v>-247.59434389802959</v>
      </c>
    </row>
    <row r="46" spans="1:125" ht="14.45" x14ac:dyDescent="0.35">
      <c r="A46" s="16">
        <f t="shared" si="125"/>
        <v>600</v>
      </c>
      <c r="B46" s="14">
        <f t="shared" si="165"/>
        <v>220</v>
      </c>
      <c r="C46" s="9">
        <f t="shared" si="16"/>
        <v>220</v>
      </c>
      <c r="D46" s="14">
        <f t="shared" si="17"/>
        <v>102</v>
      </c>
      <c r="E46" s="34">
        <f t="shared" si="92"/>
        <v>100</v>
      </c>
      <c r="F46" s="15">
        <f t="shared" si="164"/>
        <v>100</v>
      </c>
      <c r="G46">
        <f t="shared" si="91"/>
        <v>10</v>
      </c>
      <c r="H46">
        <f t="shared" si="91"/>
        <v>1</v>
      </c>
      <c r="I46" s="5">
        <f>GenUnits!$V$12</f>
        <v>400</v>
      </c>
      <c r="J46" s="5">
        <f>GenUnits!$W$12</f>
        <v>122</v>
      </c>
      <c r="K46" s="14">
        <f t="shared" si="60"/>
        <v>102</v>
      </c>
      <c r="L46" s="14">
        <f t="shared" si="166"/>
        <v>400</v>
      </c>
      <c r="M46" s="14">
        <f t="shared" si="167"/>
        <v>122</v>
      </c>
      <c r="N46" s="34">
        <f>GenUnits!$V$11</f>
        <v>1297</v>
      </c>
      <c r="O46" s="34">
        <f>GenUnits!$W$11</f>
        <v>864</v>
      </c>
      <c r="P46" s="14">
        <f t="shared" si="19"/>
        <v>42</v>
      </c>
      <c r="Q46" s="14">
        <f t="shared" si="20"/>
        <v>1</v>
      </c>
      <c r="S46" s="7">
        <f t="shared" si="63"/>
        <v>300</v>
      </c>
      <c r="T46" s="7">
        <f t="shared" si="21"/>
        <v>100</v>
      </c>
      <c r="U46" s="7">
        <f t="shared" si="168"/>
        <v>400</v>
      </c>
      <c r="V46" s="7">
        <f t="shared" si="22"/>
        <v>3000</v>
      </c>
      <c r="W46" s="7">
        <f t="shared" si="23"/>
        <v>100</v>
      </c>
      <c r="X46" s="7">
        <f t="shared" si="169"/>
        <v>3100</v>
      </c>
      <c r="Y46" s="35"/>
      <c r="Z46" s="46"/>
      <c r="AA46" s="44">
        <f t="shared" si="66"/>
        <v>100</v>
      </c>
      <c r="AB46" s="7">
        <f t="shared" si="24"/>
        <v>278</v>
      </c>
      <c r="AC46" s="15">
        <f t="shared" si="25"/>
        <v>22</v>
      </c>
      <c r="AD46" s="8">
        <v>0</v>
      </c>
      <c r="AE46" s="15">
        <f t="shared" si="26"/>
        <v>0</v>
      </c>
      <c r="AF46" s="7">
        <f t="shared" si="67"/>
        <v>100</v>
      </c>
      <c r="AG46" s="7">
        <f t="shared" si="27"/>
        <v>0</v>
      </c>
      <c r="AH46" s="7">
        <f t="shared" si="170"/>
        <v>400</v>
      </c>
      <c r="AI46" s="7" t="b">
        <f t="shared" si="28"/>
        <v>1</v>
      </c>
      <c r="AJ46" s="7"/>
      <c r="AK46" s="7"/>
      <c r="AL46" s="7"/>
      <c r="AM46" s="7"/>
      <c r="AN46" s="7"/>
      <c r="AO46" s="7"/>
      <c r="AP46" s="7"/>
      <c r="AQ46" s="7"/>
      <c r="AR46" s="7"/>
      <c r="AS46" s="7"/>
      <c r="AT46" s="7"/>
      <c r="AU46" s="7"/>
      <c r="AV46" s="7">
        <f t="shared" si="29"/>
        <v>2780</v>
      </c>
      <c r="AW46" s="7">
        <f t="shared" si="30"/>
        <v>220</v>
      </c>
      <c r="AX46" s="7">
        <f t="shared" si="31"/>
        <v>0</v>
      </c>
      <c r="AY46" s="30">
        <f t="shared" si="32"/>
        <v>0</v>
      </c>
      <c r="AZ46" s="30">
        <f t="shared" si="33"/>
        <v>100</v>
      </c>
      <c r="BA46" s="30">
        <f t="shared" si="34"/>
        <v>0</v>
      </c>
      <c r="BB46" s="7">
        <f t="shared" si="171"/>
        <v>3100</v>
      </c>
      <c r="BC46" s="7" t="b">
        <f t="shared" si="35"/>
        <v>1</v>
      </c>
      <c r="BD46" s="7"/>
      <c r="BE46" s="7"/>
      <c r="BF46" s="7"/>
      <c r="BG46" s="7"/>
      <c r="BH46" s="7"/>
      <c r="BI46" s="7"/>
      <c r="BJ46" s="7"/>
      <c r="BK46" s="7"/>
      <c r="BL46" s="7"/>
      <c r="BM46" s="7"/>
      <c r="BN46" s="7"/>
      <c r="BO46" s="7"/>
      <c r="BP46" s="7">
        <f>MATCH($A46,GenUnits!$AX$43:$AX$48,1)</f>
        <v>2</v>
      </c>
      <c r="BQ46" s="7"/>
      <c r="BR46" s="2">
        <f t="shared" ca="1" si="36"/>
        <v>0.79761451621591573</v>
      </c>
      <c r="BS46" s="2">
        <f t="shared" ca="1" si="37"/>
        <v>0.19400699889136805</v>
      </c>
      <c r="BT46" s="2">
        <f t="shared" ca="1" si="38"/>
        <v>8.3784848927162189E-3</v>
      </c>
      <c r="BU46" s="59">
        <f t="shared" ca="1" si="39"/>
        <v>0.98960476718632573</v>
      </c>
      <c r="BV46" s="59">
        <f t="shared" ca="1" si="40"/>
        <v>1</v>
      </c>
      <c r="BW46" s="59">
        <f t="shared" ca="1" si="41"/>
        <v>1.0395232813674229E-2</v>
      </c>
      <c r="BX46" s="2">
        <f t="shared" si="42"/>
        <v>0.55000000000000004</v>
      </c>
      <c r="BY46" s="2">
        <f t="shared" si="43"/>
        <v>0.18032786885245902</v>
      </c>
      <c r="BZ46" s="60">
        <f t="shared" ca="1" si="44"/>
        <v>0.80435378222871823</v>
      </c>
      <c r="CA46" s="60">
        <f t="shared" ca="1" si="45"/>
        <v>0.1956462177712818</v>
      </c>
      <c r="CB46" s="52">
        <v>0</v>
      </c>
      <c r="CC46" s="2"/>
      <c r="CD46" s="7"/>
      <c r="CE46" s="7"/>
      <c r="CF46" s="7"/>
      <c r="CG46" s="7">
        <f t="shared" si="46"/>
        <v>100</v>
      </c>
      <c r="CH46" s="9">
        <f t="shared" si="172"/>
        <v>2905.8999253174011</v>
      </c>
      <c r="CI46" s="7">
        <f t="shared" si="71"/>
        <v>100</v>
      </c>
      <c r="CJ46" s="9">
        <f t="shared" si="47"/>
        <v>94.100074682598958</v>
      </c>
      <c r="CK46" s="7">
        <f t="shared" ca="1" si="48"/>
        <v>2472.6050002693387</v>
      </c>
      <c r="CL46" s="7">
        <f t="shared" ca="1" si="49"/>
        <v>601.42169656324097</v>
      </c>
      <c r="CM46" s="7">
        <f t="shared" ca="1" si="50"/>
        <v>25.97330316742028</v>
      </c>
      <c r="CN46" s="7">
        <f t="shared" ca="1" si="51"/>
        <v>2667.5877165409665</v>
      </c>
      <c r="CO46" s="7">
        <f t="shared" ca="1" si="52"/>
        <v>375.78193310978259</v>
      </c>
      <c r="CP46" s="7">
        <f t="shared" ca="1" si="53"/>
        <v>56.630350349250683</v>
      </c>
      <c r="CQ46" s="7">
        <f t="array" aca="1" ref="CQ46" ca="1">(SUM(IF($AV$5:$BA$5=CQ$5,$AV46:$BA46))*BU46+SUM(IF($AV$5:$BA$5="B",$AV46:$BA46))*BR46)*$Q46</f>
        <v>3006.3378979670783</v>
      </c>
      <c r="CR46" s="7">
        <f t="array" aca="1" ref="CR46" ca="1">(SUM(IF($AV$5:$BA$5=CR$5,$AV46:$BA46))*BV46+SUM(IF($AV$5:$BA$5="B",$AV46:$BA46))*BS46)*$Q46</f>
        <v>62.082239645237777</v>
      </c>
      <c r="CS46" s="7">
        <f t="array" aca="1" ref="CS46" ca="1">(SUM(IF($AV$5:$BA$5=CS$5,$AV46:$BA46))*BW46+SUM(IF($AV$5:$BA$5="B",$AV46:$BA46))*BT46)*$Q46</f>
        <v>31.579862387683548</v>
      </c>
      <c r="CT46" s="7">
        <f t="array" aca="1" ref="CT46" ca="1">(SUM(IF($BF$5:$BL$5=CT$5,IF($BF$4:$BL$4="B",$BF46:$BL46)))*BU46+SUM(IF($BF$5:$BL$5=CT$5,IF($BF$4:$BL$4=CT$4,$BF46:$BL46)))+SUM(IF($BF$5:$BL$5="B",$BF46:$BL46))*BZ46)*$Q46</f>
        <v>0</v>
      </c>
      <c r="CU46" s="7">
        <f t="array" aca="1" ref="CU46" ca="1">(SUM(IF($BF$5:$BL$5=CU$5,IF($BF$4:$BL$4="B",$BF46:$BL46)))*BV46+SUM(IF($BF$5:$BL$5=CU$5,IF($BF$4:$BL$4=CU$4,$BF46:$BL46)))+SUM(IF($BF$5:$BL$5="B",$BF46:$BL46))*CA46)*$Q46</f>
        <v>0</v>
      </c>
      <c r="CV46" s="7">
        <f t="array" aca="1" ref="CV46" ca="1">(SUM(IF($BF$5:$BL$5=CV$5,IF($BF$4:$BL$4="B",$BF46:$BL46)))*BW46+SUM(IF($BF$5:$BL$5=CV$5,IF($BF$4:$BL$4=CV$4,$BF46:$BL46)))+SUM(IF($BF$5:$BL$5="B",$BF46:$BL46))*CB46)*$Q46</f>
        <v>0</v>
      </c>
      <c r="CW46" s="7"/>
      <c r="CX46" s="9">
        <f t="shared" si="72"/>
        <v>3000</v>
      </c>
      <c r="CY46" s="9">
        <f t="shared" si="173"/>
        <v>-2905.8999253174011</v>
      </c>
      <c r="CZ46" s="9">
        <f t="shared" si="174"/>
        <v>94.100074682598915</v>
      </c>
      <c r="DA46" s="9">
        <f t="shared" si="75"/>
        <v>100</v>
      </c>
      <c r="DB46" s="9">
        <f t="shared" si="175"/>
        <v>-194.10007468259897</v>
      </c>
      <c r="DC46" s="9">
        <f t="shared" si="176"/>
        <v>-94.100074682598972</v>
      </c>
      <c r="DD46" s="9">
        <f t="shared" si="78"/>
        <v>3000</v>
      </c>
      <c r="DE46" s="9">
        <f t="shared" ca="1" si="54"/>
        <v>-2472.6050002693387</v>
      </c>
      <c r="DF46" s="9">
        <f t="shared" ca="1" si="177"/>
        <v>527.39499973066131</v>
      </c>
      <c r="DG46" s="9">
        <f t="shared" si="80"/>
        <v>100</v>
      </c>
      <c r="DH46" s="9">
        <f t="shared" ca="1" si="178"/>
        <v>-627.3949997306612</v>
      </c>
      <c r="DI46" s="9">
        <f t="shared" ca="1" si="179"/>
        <v>-527.3949997306612</v>
      </c>
      <c r="DJ46" s="9">
        <f t="shared" si="83"/>
        <v>3000</v>
      </c>
      <c r="DK46" s="9">
        <f t="shared" ca="1" si="55"/>
        <v>-2667.5877165409665</v>
      </c>
      <c r="DL46" s="9">
        <f t="shared" ca="1" si="180"/>
        <v>332.41228345903346</v>
      </c>
      <c r="DM46" s="9">
        <f t="shared" si="85"/>
        <v>100</v>
      </c>
      <c r="DN46" s="9">
        <f t="shared" ca="1" si="56"/>
        <v>-432.41228345903329</v>
      </c>
      <c r="DO46" s="9">
        <f t="shared" ca="1" si="181"/>
        <v>-332.41228345903329</v>
      </c>
      <c r="DP46" s="9">
        <f t="shared" si="87"/>
        <v>3000</v>
      </c>
      <c r="DQ46" s="9">
        <f t="shared" ca="1" si="57"/>
        <v>-3006.3378979670783</v>
      </c>
      <c r="DR46" s="9">
        <f t="shared" ca="1" si="182"/>
        <v>-6.3378979670783337</v>
      </c>
      <c r="DS46" s="9">
        <f t="shared" si="89"/>
        <v>100</v>
      </c>
      <c r="DT46" s="9">
        <f t="shared" ca="1" si="58"/>
        <v>-93.662102032921325</v>
      </c>
      <c r="DU46" s="9">
        <f t="shared" ca="1" si="183"/>
        <v>6.3378979670786748</v>
      </c>
    </row>
    <row r="47" spans="1:125" ht="14.45" x14ac:dyDescent="0.35">
      <c r="A47" s="16">
        <f t="shared" si="125"/>
        <v>600</v>
      </c>
      <c r="B47" s="14">
        <f t="shared" si="165"/>
        <v>220</v>
      </c>
      <c r="C47" s="9">
        <f t="shared" si="16"/>
        <v>220</v>
      </c>
      <c r="D47" s="14">
        <f t="shared" si="17"/>
        <v>102</v>
      </c>
      <c r="E47" s="34">
        <f t="shared" si="92"/>
        <v>220</v>
      </c>
      <c r="F47" s="15">
        <f t="shared" si="164"/>
        <v>220</v>
      </c>
      <c r="G47">
        <f t="shared" si="91"/>
        <v>10</v>
      </c>
      <c r="H47">
        <f t="shared" si="91"/>
        <v>1</v>
      </c>
      <c r="I47" s="5">
        <f>GenUnits!$V$12</f>
        <v>400</v>
      </c>
      <c r="J47" s="5">
        <f>GenUnits!$W$12</f>
        <v>122</v>
      </c>
      <c r="K47" s="14">
        <f t="shared" si="60"/>
        <v>102</v>
      </c>
      <c r="L47" s="14">
        <f t="shared" si="166"/>
        <v>400</v>
      </c>
      <c r="M47" s="14">
        <f t="shared" si="167"/>
        <v>122</v>
      </c>
      <c r="N47" s="34">
        <f>GenUnits!$V$11</f>
        <v>1297</v>
      </c>
      <c r="O47" s="34">
        <f>GenUnits!$W$11</f>
        <v>864</v>
      </c>
      <c r="P47" s="14">
        <f t="shared" si="19"/>
        <v>42</v>
      </c>
      <c r="Q47" s="14">
        <f t="shared" si="20"/>
        <v>1</v>
      </c>
      <c r="S47" s="7">
        <f t="shared" si="63"/>
        <v>180</v>
      </c>
      <c r="T47" s="7">
        <f t="shared" si="21"/>
        <v>220</v>
      </c>
      <c r="U47" s="7">
        <f t="shared" si="168"/>
        <v>400</v>
      </c>
      <c r="V47" s="7">
        <f t="shared" si="22"/>
        <v>1800</v>
      </c>
      <c r="W47" s="7">
        <f t="shared" si="23"/>
        <v>220</v>
      </c>
      <c r="X47" s="7">
        <f t="shared" si="169"/>
        <v>2020</v>
      </c>
      <c r="Y47" s="35"/>
      <c r="Z47" s="46"/>
      <c r="AA47" s="44">
        <f t="shared" si="66"/>
        <v>220</v>
      </c>
      <c r="AB47" s="7">
        <f t="shared" si="24"/>
        <v>180</v>
      </c>
      <c r="AC47" s="15">
        <f t="shared" si="25"/>
        <v>0</v>
      </c>
      <c r="AD47" s="8">
        <v>0</v>
      </c>
      <c r="AE47" s="15">
        <f t="shared" si="26"/>
        <v>98</v>
      </c>
      <c r="AF47" s="7">
        <f t="shared" si="67"/>
        <v>122</v>
      </c>
      <c r="AG47" s="7">
        <f t="shared" si="27"/>
        <v>0</v>
      </c>
      <c r="AH47" s="7">
        <f t="shared" si="170"/>
        <v>400</v>
      </c>
      <c r="AI47" s="7" t="b">
        <f t="shared" si="28"/>
        <v>1</v>
      </c>
      <c r="AJ47" s="7"/>
      <c r="AK47" s="7"/>
      <c r="AL47" s="7"/>
      <c r="AM47" s="7"/>
      <c r="AN47" s="7"/>
      <c r="AO47" s="7"/>
      <c r="AP47" s="7"/>
      <c r="AQ47" s="7"/>
      <c r="AR47" s="7"/>
      <c r="AS47" s="7"/>
      <c r="AT47" s="7"/>
      <c r="AU47" s="7"/>
      <c r="AV47" s="7">
        <f t="shared" si="29"/>
        <v>1800</v>
      </c>
      <c r="AW47" s="7">
        <f t="shared" si="30"/>
        <v>0</v>
      </c>
      <c r="AX47" s="7">
        <f t="shared" si="31"/>
        <v>0</v>
      </c>
      <c r="AY47" s="30">
        <f t="shared" si="32"/>
        <v>98</v>
      </c>
      <c r="AZ47" s="30">
        <f t="shared" si="33"/>
        <v>122</v>
      </c>
      <c r="BA47" s="30">
        <f t="shared" si="34"/>
        <v>0</v>
      </c>
      <c r="BB47" s="7">
        <f t="shared" si="171"/>
        <v>2020</v>
      </c>
      <c r="BC47" s="7" t="b">
        <f t="shared" si="35"/>
        <v>1</v>
      </c>
      <c r="BD47" s="7"/>
      <c r="BE47" s="7"/>
      <c r="BF47" s="7"/>
      <c r="BG47" s="7"/>
      <c r="BH47" s="7"/>
      <c r="BI47" s="7"/>
      <c r="BJ47" s="7"/>
      <c r="BK47" s="7"/>
      <c r="BL47" s="7"/>
      <c r="BM47" s="7"/>
      <c r="BN47" s="7"/>
      <c r="BO47" s="7"/>
      <c r="BP47" s="7">
        <f>MATCH($A47,GenUnits!$AX$43:$AX$48,1)</f>
        <v>2</v>
      </c>
      <c r="BQ47" s="7"/>
      <c r="BR47" s="2">
        <f t="shared" ca="1" si="36"/>
        <v>0.79761451621591573</v>
      </c>
      <c r="BS47" s="2">
        <f t="shared" ca="1" si="37"/>
        <v>0.19400699889136805</v>
      </c>
      <c r="BT47" s="2">
        <f t="shared" ca="1" si="38"/>
        <v>8.3784848927162189E-3</v>
      </c>
      <c r="BU47" s="59">
        <f t="shared" ca="1" si="39"/>
        <v>0.98960476718632573</v>
      </c>
      <c r="BV47" s="59">
        <f t="shared" ca="1" si="40"/>
        <v>1</v>
      </c>
      <c r="BW47" s="59">
        <f t="shared" ca="1" si="41"/>
        <v>1.0395232813674229E-2</v>
      </c>
      <c r="BX47" s="2">
        <f t="shared" si="42"/>
        <v>0.55000000000000004</v>
      </c>
      <c r="BY47" s="2">
        <f t="shared" si="43"/>
        <v>0</v>
      </c>
      <c r="BZ47" s="60">
        <f t="shared" ca="1" si="44"/>
        <v>0.80435378222871823</v>
      </c>
      <c r="CA47" s="60">
        <f t="shared" ca="1" si="45"/>
        <v>0.1956462177712818</v>
      </c>
      <c r="CB47" s="52">
        <v>0</v>
      </c>
      <c r="CC47" s="2"/>
      <c r="CD47" s="7"/>
      <c r="CE47" s="7"/>
      <c r="CF47" s="7"/>
      <c r="CG47" s="7">
        <f t="shared" si="46"/>
        <v>220</v>
      </c>
      <c r="CH47" s="9">
        <f t="shared" si="172"/>
        <v>1743.5399551904407</v>
      </c>
      <c r="CI47" s="7">
        <f t="shared" si="71"/>
        <v>220</v>
      </c>
      <c r="CJ47" s="9">
        <f t="shared" si="47"/>
        <v>56.460044809559371</v>
      </c>
      <c r="CK47" s="7">
        <f t="shared" ca="1" si="48"/>
        <v>1611.1813227561497</v>
      </c>
      <c r="CL47" s="7">
        <f t="shared" ca="1" si="49"/>
        <v>391.89413776056347</v>
      </c>
      <c r="CM47" s="7">
        <f t="shared" ca="1" si="50"/>
        <v>16.924539483286761</v>
      </c>
      <c r="CN47" s="7">
        <f t="shared" ca="1" si="51"/>
        <v>1670.7427073515805</v>
      </c>
      <c r="CO47" s="7">
        <f t="shared" ca="1" si="52"/>
        <v>314.54177576830989</v>
      </c>
      <c r="CP47" s="7">
        <f t="shared" ca="1" si="53"/>
        <v>34.715516880109433</v>
      </c>
      <c r="CQ47" s="7">
        <f t="array" aca="1" ref="CQ47" ca="1">(SUM(IF($AV$5:$BA$5=CQ$5,$AV47:$BA47))*BU47+SUM(IF($AV$5:$BA$5="B",$AV47:$BA47))*BR47)*$Q47</f>
        <v>1975.5788190979879</v>
      </c>
      <c r="CR47" s="7">
        <f t="array" aca="1" ref="CR47" ca="1">(SUM(IF($AV$5:$BA$5=CR$5,$AV47:$BA47))*BV47+SUM(IF($AV$5:$BA$5="B",$AV47:$BA47))*BS47)*$Q47</f>
        <v>23.6688538647469</v>
      </c>
      <c r="CS47" s="7">
        <f t="array" aca="1" ref="CS47" ca="1">(SUM(IF($AV$5:$BA$5=CS$5,$AV47:$BA47))*BW47+SUM(IF($AV$5:$BA$5="B",$AV47:$BA47))*BT47)*$Q47</f>
        <v>20.752327037265065</v>
      </c>
      <c r="CT47" s="7">
        <f t="array" aca="1" ref="CT47" ca="1">(SUM(IF($BF$5:$BL$5=CT$5,IF($BF$4:$BL$4="B",$BF47:$BL47)))*BU47+SUM(IF($BF$5:$BL$5=CT$5,IF($BF$4:$BL$4=CT$4,$BF47:$BL47)))+SUM(IF($BF$5:$BL$5="B",$BF47:$BL47))*BZ47)*$Q47</f>
        <v>0</v>
      </c>
      <c r="CU47" s="7">
        <f t="array" aca="1" ref="CU47" ca="1">(SUM(IF($BF$5:$BL$5=CU$5,IF($BF$4:$BL$4="B",$BF47:$BL47)))*BV47+SUM(IF($BF$5:$BL$5=CU$5,IF($BF$4:$BL$4=CU$4,$BF47:$BL47)))+SUM(IF($BF$5:$BL$5="B",$BF47:$BL47))*CA47)*$Q47</f>
        <v>0</v>
      </c>
      <c r="CV47" s="7">
        <f t="array" aca="1" ref="CV47" ca="1">(SUM(IF($BF$5:$BL$5=CV$5,IF($BF$4:$BL$4="B",$BF47:$BL47)))*BW47+SUM(IF($BF$5:$BL$5=CV$5,IF($BF$4:$BL$4=CV$4,$BF47:$BL47)))+SUM(IF($BF$5:$BL$5="B",$BF47:$BL47))*CB47)*$Q47</f>
        <v>0</v>
      </c>
      <c r="CW47" s="7"/>
      <c r="CX47" s="9">
        <f t="shared" si="72"/>
        <v>1800</v>
      </c>
      <c r="CY47" s="9">
        <f t="shared" si="173"/>
        <v>-1743.5399551904407</v>
      </c>
      <c r="CZ47" s="9">
        <f t="shared" si="174"/>
        <v>56.460044809559349</v>
      </c>
      <c r="DA47" s="9">
        <f t="shared" si="75"/>
        <v>220</v>
      </c>
      <c r="DB47" s="9">
        <f t="shared" si="175"/>
        <v>-276.46004480955935</v>
      </c>
      <c r="DC47" s="9">
        <f t="shared" si="176"/>
        <v>-56.460044809559349</v>
      </c>
      <c r="DD47" s="9">
        <f t="shared" si="78"/>
        <v>1800</v>
      </c>
      <c r="DE47" s="9">
        <f t="shared" ca="1" si="54"/>
        <v>-1611.1813227561497</v>
      </c>
      <c r="DF47" s="9">
        <f t="shared" ca="1" si="177"/>
        <v>188.81867724385029</v>
      </c>
      <c r="DG47" s="9">
        <f t="shared" si="80"/>
        <v>220</v>
      </c>
      <c r="DH47" s="9">
        <f t="shared" ca="1" si="178"/>
        <v>-408.81867724385023</v>
      </c>
      <c r="DI47" s="9">
        <f t="shared" ca="1" si="179"/>
        <v>-188.81867724385023</v>
      </c>
      <c r="DJ47" s="9">
        <f t="shared" si="83"/>
        <v>1800</v>
      </c>
      <c r="DK47" s="9">
        <f t="shared" ca="1" si="55"/>
        <v>-1670.7427073515805</v>
      </c>
      <c r="DL47" s="9">
        <f t="shared" ca="1" si="180"/>
        <v>129.25729264841948</v>
      </c>
      <c r="DM47" s="9">
        <f t="shared" si="85"/>
        <v>220</v>
      </c>
      <c r="DN47" s="9">
        <f t="shared" ca="1" si="56"/>
        <v>-349.25729264841931</v>
      </c>
      <c r="DO47" s="9">
        <f t="shared" ca="1" si="181"/>
        <v>-129.25729264841931</v>
      </c>
      <c r="DP47" s="9">
        <f t="shared" si="87"/>
        <v>1800</v>
      </c>
      <c r="DQ47" s="9">
        <f t="shared" ca="1" si="57"/>
        <v>-1975.5788190979879</v>
      </c>
      <c r="DR47" s="9">
        <f t="shared" ca="1" si="182"/>
        <v>-175.57881909798789</v>
      </c>
      <c r="DS47" s="9">
        <f t="shared" si="89"/>
        <v>220</v>
      </c>
      <c r="DT47" s="9">
        <f t="shared" ca="1" si="58"/>
        <v>-44.421180902011969</v>
      </c>
      <c r="DU47" s="9">
        <f t="shared" ca="1" si="183"/>
        <v>175.57881909798803</v>
      </c>
    </row>
    <row r="48" spans="1:125" ht="14.45" x14ac:dyDescent="0.35">
      <c r="A48" s="16">
        <f t="shared" si="125"/>
        <v>800</v>
      </c>
      <c r="B48" s="14">
        <f t="shared" si="165"/>
        <v>220</v>
      </c>
      <c r="C48" s="9">
        <f t="shared" si="16"/>
        <v>220</v>
      </c>
      <c r="D48" s="14">
        <f t="shared" si="17"/>
        <v>302</v>
      </c>
      <c r="E48" s="34">
        <f t="shared" si="92"/>
        <v>0</v>
      </c>
      <c r="F48" s="15">
        <f t="shared" si="164"/>
        <v>0</v>
      </c>
      <c r="G48">
        <f t="shared" si="91"/>
        <v>10</v>
      </c>
      <c r="H48">
        <f t="shared" si="91"/>
        <v>1</v>
      </c>
      <c r="I48" s="5">
        <f>GenUnits!$V$12</f>
        <v>400</v>
      </c>
      <c r="J48" s="5">
        <f>GenUnits!$W$12</f>
        <v>122</v>
      </c>
      <c r="K48" s="14">
        <f t="shared" si="60"/>
        <v>302</v>
      </c>
      <c r="L48" s="14">
        <f t="shared" si="166"/>
        <v>400</v>
      </c>
      <c r="M48" s="14">
        <f t="shared" si="167"/>
        <v>122</v>
      </c>
      <c r="N48" s="34">
        <f>GenUnits!$V$11</f>
        <v>1297</v>
      </c>
      <c r="O48" s="34">
        <f>GenUnits!$W$11</f>
        <v>864</v>
      </c>
      <c r="P48" s="14">
        <f t="shared" si="19"/>
        <v>242</v>
      </c>
      <c r="Q48" s="14">
        <f t="shared" si="20"/>
        <v>1</v>
      </c>
      <c r="S48" s="7">
        <f t="shared" si="63"/>
        <v>400</v>
      </c>
      <c r="T48" s="7">
        <f t="shared" si="21"/>
        <v>0</v>
      </c>
      <c r="U48" s="7">
        <f t="shared" si="168"/>
        <v>400</v>
      </c>
      <c r="V48" s="7">
        <f t="shared" si="22"/>
        <v>4000</v>
      </c>
      <c r="W48" s="7">
        <f t="shared" si="23"/>
        <v>0</v>
      </c>
      <c r="X48" s="7">
        <f t="shared" si="169"/>
        <v>4000</v>
      </c>
      <c r="Y48" s="35"/>
      <c r="Z48" s="46" t="str">
        <f>$D48&amp;" MW"</f>
        <v>302 MW</v>
      </c>
      <c r="AA48" s="44">
        <f t="shared" si="66"/>
        <v>0</v>
      </c>
      <c r="AB48" s="7">
        <f t="shared" si="24"/>
        <v>278</v>
      </c>
      <c r="AC48" s="15">
        <f t="shared" si="25"/>
        <v>122</v>
      </c>
      <c r="AD48" s="8">
        <v>0</v>
      </c>
      <c r="AE48" s="15">
        <f t="shared" si="26"/>
        <v>0</v>
      </c>
      <c r="AF48" s="7">
        <f t="shared" si="67"/>
        <v>0</v>
      </c>
      <c r="AG48" s="7">
        <f t="shared" si="27"/>
        <v>0</v>
      </c>
      <c r="AH48" s="7">
        <f t="shared" si="170"/>
        <v>400</v>
      </c>
      <c r="AI48" s="7" t="b">
        <f t="shared" si="28"/>
        <v>1</v>
      </c>
      <c r="AJ48" s="7"/>
      <c r="AK48" s="7"/>
      <c r="AL48" s="7"/>
      <c r="AM48" s="7"/>
      <c r="AN48" s="7"/>
      <c r="AO48" s="7"/>
      <c r="AP48" s="7"/>
      <c r="AQ48" s="7"/>
      <c r="AR48" s="7"/>
      <c r="AS48" s="7"/>
      <c r="AT48" s="7"/>
      <c r="AU48" s="7"/>
      <c r="AV48" s="7">
        <f t="shared" si="29"/>
        <v>2780</v>
      </c>
      <c r="AW48" s="7">
        <f t="shared" si="30"/>
        <v>1220</v>
      </c>
      <c r="AX48" s="7">
        <f t="shared" si="31"/>
        <v>0</v>
      </c>
      <c r="AY48" s="30">
        <f t="shared" si="32"/>
        <v>0</v>
      </c>
      <c r="AZ48" s="30">
        <f t="shared" si="33"/>
        <v>0</v>
      </c>
      <c r="BA48" s="30">
        <f t="shared" si="34"/>
        <v>0</v>
      </c>
      <c r="BB48" s="7">
        <f t="shared" si="171"/>
        <v>4000</v>
      </c>
      <c r="BC48" s="7" t="b">
        <f t="shared" si="35"/>
        <v>1</v>
      </c>
      <c r="BD48" s="7"/>
      <c r="BE48" s="7"/>
      <c r="BF48" s="7"/>
      <c r="BG48" s="7"/>
      <c r="BH48" s="7"/>
      <c r="BI48" s="7"/>
      <c r="BJ48" s="7"/>
      <c r="BK48" s="7"/>
      <c r="BL48" s="7"/>
      <c r="BM48" s="7"/>
      <c r="BN48" s="7"/>
      <c r="BO48" s="7"/>
      <c r="BP48" s="7">
        <f>MATCH($A48,GenUnits!$AX$43:$AX$48,1)</f>
        <v>4</v>
      </c>
      <c r="BQ48" s="7"/>
      <c r="BR48" s="2">
        <f t="shared" ca="1" si="36"/>
        <v>0.6902169860500027</v>
      </c>
      <c r="BS48" s="2">
        <f t="shared" ca="1" si="37"/>
        <v>0.19182986842379629</v>
      </c>
      <c r="BT48" s="2">
        <f t="shared" ca="1" si="38"/>
        <v>0.11795314552620097</v>
      </c>
      <c r="BU48" s="59">
        <f t="shared" ca="1" si="39"/>
        <v>0.85404911550473583</v>
      </c>
      <c r="BV48" s="59">
        <f t="shared" ca="1" si="40"/>
        <v>1</v>
      </c>
      <c r="BW48" s="59">
        <f t="shared" ca="1" si="41"/>
        <v>0.14595088449526419</v>
      </c>
      <c r="BX48" s="2">
        <f t="shared" si="42"/>
        <v>0.55000000000000004</v>
      </c>
      <c r="BY48" s="2">
        <f t="shared" si="43"/>
        <v>1</v>
      </c>
      <c r="BZ48" s="60">
        <f t="shared" ca="1" si="44"/>
        <v>0.78251737144027811</v>
      </c>
      <c r="CA48" s="60">
        <f t="shared" ca="1" si="45"/>
        <v>0.21748262855972189</v>
      </c>
      <c r="CB48" s="52">
        <v>0</v>
      </c>
      <c r="CC48" s="2"/>
      <c r="CD48" s="7"/>
      <c r="CE48" s="7"/>
      <c r="CF48" s="7"/>
      <c r="CG48" s="7">
        <f t="shared" si="46"/>
        <v>0</v>
      </c>
      <c r="CH48" s="9">
        <f t="shared" si="172"/>
        <v>3371.0201429499675</v>
      </c>
      <c r="CI48" s="7">
        <f t="shared" si="71"/>
        <v>0</v>
      </c>
      <c r="CJ48" s="9">
        <f t="shared" si="47"/>
        <v>628.97985705003248</v>
      </c>
      <c r="CK48" s="7">
        <f t="shared" ca="1" si="48"/>
        <v>2760.8679442000107</v>
      </c>
      <c r="CL48" s="7">
        <f t="shared" ca="1" si="49"/>
        <v>767.31947369518514</v>
      </c>
      <c r="CM48" s="7">
        <f t="shared" ca="1" si="50"/>
        <v>471.81258210480388</v>
      </c>
      <c r="CN48" s="7">
        <f t="shared" ca="1" si="51"/>
        <v>3035.4364336374911</v>
      </c>
      <c r="CO48" s="7">
        <f t="shared" ca="1" si="52"/>
        <v>422.02571053235187</v>
      </c>
      <c r="CP48" s="7">
        <f t="shared" ca="1" si="53"/>
        <v>542.53785583015679</v>
      </c>
      <c r="CQ48" s="7">
        <f t="array" aca="1" ref="CQ48" ca="1">(SUM(IF($AV$5:$BA$5=CQ$5,$AV48:$BA48))*BU48+SUM(IF($AV$5:$BA$5="B",$AV48:$BA48))*BR48)*$Q48</f>
        <v>3216.3212640841689</v>
      </c>
      <c r="CR48" s="7">
        <f t="array" aca="1" ref="CR48" ca="1">(SUM(IF($AV$5:$BA$5=CR$5,$AV48:$BA48))*BV48+SUM(IF($AV$5:$BA$5="B",$AV48:$BA48))*BS48)*$Q48</f>
        <v>234.03243947703149</v>
      </c>
      <c r="CS48" s="7">
        <f t="array" aca="1" ref="CS48" ca="1">(SUM(IF($AV$5:$BA$5=CS$5,$AV48:$BA48))*BW48+SUM(IF($AV$5:$BA$5="B",$AV48:$BA48))*BT48)*$Q48</f>
        <v>549.6462964387996</v>
      </c>
      <c r="CT48" s="7">
        <f t="array" aca="1" ref="CT48" ca="1">(SUM(IF($BF$5:$BL$5=CT$5,IF($BF$4:$BL$4="B",$BF48:$BL48)))*BU48+SUM(IF($BF$5:$BL$5=CT$5,IF($BF$4:$BL$4=CT$4,$BF48:$BL48)))+SUM(IF($BF$5:$BL$5="B",$BF48:$BL48))*BZ48)*$Q48</f>
        <v>0</v>
      </c>
      <c r="CU48" s="7">
        <f t="array" aca="1" ref="CU48" ca="1">(SUM(IF($BF$5:$BL$5=CU$5,IF($BF$4:$BL$4="B",$BF48:$BL48)))*BV48+SUM(IF($BF$5:$BL$5=CU$5,IF($BF$4:$BL$4=CU$4,$BF48:$BL48)))+SUM(IF($BF$5:$BL$5="B",$BF48:$BL48))*CA48)*$Q48</f>
        <v>0</v>
      </c>
      <c r="CV48" s="7">
        <f t="array" aca="1" ref="CV48" ca="1">(SUM(IF($BF$5:$BL$5=CV$5,IF($BF$4:$BL$4="B",$BF48:$BL48)))*BW48+SUM(IF($BF$5:$BL$5=CV$5,IF($BF$4:$BL$4=CV$4,$BF48:$BL48)))+SUM(IF($BF$5:$BL$5="B",$BF48:$BL48))*CB48)*$Q48</f>
        <v>0</v>
      </c>
      <c r="CW48" s="7"/>
      <c r="CX48" s="9">
        <f t="shared" si="72"/>
        <v>4000</v>
      </c>
      <c r="CY48" s="9">
        <f t="shared" si="173"/>
        <v>-3371.0201429499675</v>
      </c>
      <c r="CZ48" s="9">
        <f t="shared" si="174"/>
        <v>628.97985705003248</v>
      </c>
      <c r="DA48" s="9">
        <f t="shared" si="75"/>
        <v>0</v>
      </c>
      <c r="DB48" s="9">
        <f t="shared" si="175"/>
        <v>-628.97985705003248</v>
      </c>
      <c r="DC48" s="9">
        <f t="shared" si="176"/>
        <v>-628.97985705003248</v>
      </c>
      <c r="DD48" s="9">
        <f t="shared" si="78"/>
        <v>4000</v>
      </c>
      <c r="DE48" s="9">
        <f t="shared" ca="1" si="54"/>
        <v>-2760.8679442000107</v>
      </c>
      <c r="DF48" s="9">
        <f t="shared" ca="1" si="177"/>
        <v>1239.1320557999893</v>
      </c>
      <c r="DG48" s="9">
        <f t="shared" si="80"/>
        <v>0</v>
      </c>
      <c r="DH48" s="9">
        <f t="shared" ca="1" si="178"/>
        <v>-1239.1320557999891</v>
      </c>
      <c r="DI48" s="9">
        <f t="shared" ca="1" si="179"/>
        <v>-1239.1320557999891</v>
      </c>
      <c r="DJ48" s="9">
        <f t="shared" si="83"/>
        <v>4000</v>
      </c>
      <c r="DK48" s="9">
        <f t="shared" ca="1" si="55"/>
        <v>-3035.4364336374911</v>
      </c>
      <c r="DL48" s="9">
        <f t="shared" ca="1" si="180"/>
        <v>964.56356636250894</v>
      </c>
      <c r="DM48" s="9">
        <f t="shared" si="85"/>
        <v>0</v>
      </c>
      <c r="DN48" s="9">
        <f t="shared" ca="1" si="56"/>
        <v>-964.56356636250871</v>
      </c>
      <c r="DO48" s="9">
        <f t="shared" ca="1" si="181"/>
        <v>-964.56356636250871</v>
      </c>
      <c r="DP48" s="9">
        <f t="shared" si="87"/>
        <v>4000</v>
      </c>
      <c r="DQ48" s="9">
        <f t="shared" ca="1" si="57"/>
        <v>-3216.3212640841689</v>
      </c>
      <c r="DR48" s="9">
        <f t="shared" ca="1" si="182"/>
        <v>783.67873591583111</v>
      </c>
      <c r="DS48" s="9">
        <f t="shared" si="89"/>
        <v>0</v>
      </c>
      <c r="DT48" s="9">
        <f t="shared" ca="1" si="58"/>
        <v>-783.67873591583111</v>
      </c>
      <c r="DU48" s="9">
        <f t="shared" ca="1" si="183"/>
        <v>-783.67873591583111</v>
      </c>
    </row>
    <row r="49" spans="1:125" ht="14.45" x14ac:dyDescent="0.35">
      <c r="A49" s="16">
        <f t="shared" si="125"/>
        <v>800</v>
      </c>
      <c r="B49" s="14">
        <f t="shared" si="165"/>
        <v>220</v>
      </c>
      <c r="C49" s="9">
        <f t="shared" si="16"/>
        <v>220</v>
      </c>
      <c r="D49" s="14">
        <f t="shared" si="17"/>
        <v>302</v>
      </c>
      <c r="E49" s="34">
        <f t="shared" si="92"/>
        <v>10</v>
      </c>
      <c r="F49" s="15">
        <f t="shared" si="164"/>
        <v>10</v>
      </c>
      <c r="G49">
        <f t="shared" si="91"/>
        <v>10</v>
      </c>
      <c r="H49">
        <f t="shared" si="91"/>
        <v>1</v>
      </c>
      <c r="I49" s="5">
        <f>GenUnits!$V$12</f>
        <v>400</v>
      </c>
      <c r="J49" s="5">
        <f>GenUnits!$W$12</f>
        <v>122</v>
      </c>
      <c r="K49" s="14">
        <f t="shared" si="60"/>
        <v>302</v>
      </c>
      <c r="L49" s="14">
        <f t="shared" si="166"/>
        <v>400</v>
      </c>
      <c r="M49" s="14">
        <f t="shared" si="167"/>
        <v>122</v>
      </c>
      <c r="N49" s="34">
        <f>GenUnits!$V$11</f>
        <v>1297</v>
      </c>
      <c r="O49" s="34">
        <f>GenUnits!$W$11</f>
        <v>864</v>
      </c>
      <c r="P49" s="14">
        <f t="shared" si="19"/>
        <v>242</v>
      </c>
      <c r="Q49" s="14">
        <f t="shared" si="20"/>
        <v>1</v>
      </c>
      <c r="S49" s="7">
        <f t="shared" si="63"/>
        <v>390</v>
      </c>
      <c r="T49" s="7">
        <f t="shared" si="21"/>
        <v>10</v>
      </c>
      <c r="U49" s="7">
        <f t="shared" si="168"/>
        <v>400</v>
      </c>
      <c r="V49" s="7">
        <f t="shared" si="22"/>
        <v>3900</v>
      </c>
      <c r="W49" s="7">
        <f t="shared" si="23"/>
        <v>10</v>
      </c>
      <c r="X49" s="7">
        <f t="shared" si="169"/>
        <v>3910</v>
      </c>
      <c r="Y49" s="35"/>
      <c r="Z49" s="46"/>
      <c r="AA49" s="44">
        <f t="shared" si="66"/>
        <v>10</v>
      </c>
      <c r="AB49" s="7">
        <f t="shared" si="24"/>
        <v>278</v>
      </c>
      <c r="AC49" s="15">
        <f t="shared" si="25"/>
        <v>112</v>
      </c>
      <c r="AD49" s="8">
        <v>0</v>
      </c>
      <c r="AE49" s="15">
        <f t="shared" si="26"/>
        <v>0</v>
      </c>
      <c r="AF49" s="7">
        <f t="shared" si="67"/>
        <v>10</v>
      </c>
      <c r="AG49" s="7">
        <f t="shared" si="27"/>
        <v>0</v>
      </c>
      <c r="AH49" s="7">
        <f t="shared" si="170"/>
        <v>400</v>
      </c>
      <c r="AI49" s="7" t="b">
        <f t="shared" si="28"/>
        <v>1</v>
      </c>
      <c r="AJ49" s="7"/>
      <c r="AK49" s="7"/>
      <c r="AL49" s="7"/>
      <c r="AM49" s="7"/>
      <c r="AN49" s="7"/>
      <c r="AO49" s="7"/>
      <c r="AP49" s="7"/>
      <c r="AQ49" s="7"/>
      <c r="AR49" s="7"/>
      <c r="AS49" s="7"/>
      <c r="AT49" s="7"/>
      <c r="AU49" s="7"/>
      <c r="AV49" s="7">
        <f t="shared" si="29"/>
        <v>2780</v>
      </c>
      <c r="AW49" s="7">
        <f t="shared" si="30"/>
        <v>1120</v>
      </c>
      <c r="AX49" s="7">
        <f t="shared" si="31"/>
        <v>0</v>
      </c>
      <c r="AY49" s="30">
        <f t="shared" si="32"/>
        <v>0</v>
      </c>
      <c r="AZ49" s="30">
        <f t="shared" si="33"/>
        <v>10</v>
      </c>
      <c r="BA49" s="30">
        <f t="shared" si="34"/>
        <v>0</v>
      </c>
      <c r="BB49" s="7">
        <f t="shared" si="171"/>
        <v>3910</v>
      </c>
      <c r="BC49" s="7" t="b">
        <f t="shared" si="35"/>
        <v>1</v>
      </c>
      <c r="BD49" s="7"/>
      <c r="BE49" s="7"/>
      <c r="BF49" s="7"/>
      <c r="BG49" s="7"/>
      <c r="BH49" s="7"/>
      <c r="BI49" s="7"/>
      <c r="BJ49" s="7"/>
      <c r="BK49" s="7"/>
      <c r="BL49" s="7"/>
      <c r="BM49" s="7"/>
      <c r="BN49" s="7"/>
      <c r="BO49" s="7"/>
      <c r="BP49" s="7">
        <f>MATCH($A49,GenUnits!$AX$43:$AX$48,1)</f>
        <v>4</v>
      </c>
      <c r="BQ49" s="7"/>
      <c r="BR49" s="2">
        <f t="shared" ca="1" si="36"/>
        <v>0.6902169860500027</v>
      </c>
      <c r="BS49" s="2">
        <f t="shared" ca="1" si="37"/>
        <v>0.19182986842379629</v>
      </c>
      <c r="BT49" s="2">
        <f t="shared" ca="1" si="38"/>
        <v>0.11795314552620097</v>
      </c>
      <c r="BU49" s="59">
        <f t="shared" ca="1" si="39"/>
        <v>0.85404911550473583</v>
      </c>
      <c r="BV49" s="59">
        <f t="shared" ca="1" si="40"/>
        <v>1</v>
      </c>
      <c r="BW49" s="59">
        <f t="shared" ca="1" si="41"/>
        <v>0.14595088449526419</v>
      </c>
      <c r="BX49" s="2">
        <f t="shared" si="42"/>
        <v>0.55000000000000004</v>
      </c>
      <c r="BY49" s="2">
        <f t="shared" si="43"/>
        <v>0.91803278688524592</v>
      </c>
      <c r="BZ49" s="60">
        <f t="shared" ca="1" si="44"/>
        <v>0.78251737144027811</v>
      </c>
      <c r="CA49" s="60">
        <f t="shared" ca="1" si="45"/>
        <v>0.21748262855972189</v>
      </c>
      <c r="CB49" s="52">
        <v>0</v>
      </c>
      <c r="CC49" s="2"/>
      <c r="CD49" s="7"/>
      <c r="CE49" s="7"/>
      <c r="CF49" s="7"/>
      <c r="CG49" s="7">
        <f t="shared" si="46"/>
        <v>10</v>
      </c>
      <c r="CH49" s="9">
        <f t="shared" si="172"/>
        <v>3286.7446393762184</v>
      </c>
      <c r="CI49" s="7">
        <f t="shared" si="71"/>
        <v>10</v>
      </c>
      <c r="CJ49" s="9">
        <f t="shared" si="47"/>
        <v>613.25536062378171</v>
      </c>
      <c r="CK49" s="7">
        <f t="shared" ca="1" si="48"/>
        <v>2698.7484154555104</v>
      </c>
      <c r="CL49" s="7">
        <f t="shared" ca="1" si="49"/>
        <v>750.05478553704347</v>
      </c>
      <c r="CM49" s="7">
        <f t="shared" ca="1" si="50"/>
        <v>461.1967990074458</v>
      </c>
      <c r="CN49" s="7">
        <f t="shared" ca="1" si="51"/>
        <v>2963.346716219829</v>
      </c>
      <c r="CO49" s="7">
        <f t="shared" ca="1" si="52"/>
        <v>417.03013204537393</v>
      </c>
      <c r="CP49" s="7">
        <f t="shared" ca="1" si="53"/>
        <v>529.62315173479692</v>
      </c>
      <c r="CQ49" s="7">
        <f t="array" aca="1" ref="CQ49" ca="1">(SUM(IF($AV$5:$BA$5=CQ$5,$AV49:$BA49))*BU49+SUM(IF($AV$5:$BA$5="B",$AV49:$BA49))*BR49)*$Q49</f>
        <v>3154.2017353396686</v>
      </c>
      <c r="CR49" s="7">
        <f t="array" aca="1" ref="CR49" ca="1">(SUM(IF($AV$5:$BA$5=CR$5,$AV49:$BA49))*BV49+SUM(IF($AV$5:$BA$5="B",$AV49:$BA49))*BS49)*$Q49</f>
        <v>216.76775131888982</v>
      </c>
      <c r="CS49" s="7">
        <f t="array" aca="1" ref="CS49" ca="1">(SUM(IF($AV$5:$BA$5=CS$5,$AV49:$BA49))*BW49+SUM(IF($AV$5:$BA$5="B",$AV49:$BA49))*BT49)*$Q49</f>
        <v>539.03051334144152</v>
      </c>
      <c r="CT49" s="7">
        <f t="array" aca="1" ref="CT49" ca="1">(SUM(IF($BF$5:$BL$5=CT$5,IF($BF$4:$BL$4="B",$BF49:$BL49)))*BU49+SUM(IF($BF$5:$BL$5=CT$5,IF($BF$4:$BL$4=CT$4,$BF49:$BL49)))+SUM(IF($BF$5:$BL$5="B",$BF49:$BL49))*BZ49)*$Q49</f>
        <v>0</v>
      </c>
      <c r="CU49" s="7">
        <f t="array" aca="1" ref="CU49" ca="1">(SUM(IF($BF$5:$BL$5=CU$5,IF($BF$4:$BL$4="B",$BF49:$BL49)))*BV49+SUM(IF($BF$5:$BL$5=CU$5,IF($BF$4:$BL$4=CU$4,$BF49:$BL49)))+SUM(IF($BF$5:$BL$5="B",$BF49:$BL49))*CA49)*$Q49</f>
        <v>0</v>
      </c>
      <c r="CV49" s="7">
        <f t="array" aca="1" ref="CV49" ca="1">(SUM(IF($BF$5:$BL$5=CV$5,IF($BF$4:$BL$4="B",$BF49:$BL49)))*BW49+SUM(IF($BF$5:$BL$5=CV$5,IF($BF$4:$BL$4=CV$4,$BF49:$BL49)))+SUM(IF($BF$5:$BL$5="B",$BF49:$BL49))*CB49)*$Q49</f>
        <v>0</v>
      </c>
      <c r="CW49" s="7"/>
      <c r="CX49" s="9">
        <f t="shared" si="72"/>
        <v>3900</v>
      </c>
      <c r="CY49" s="9">
        <f t="shared" si="173"/>
        <v>-3286.7446393762184</v>
      </c>
      <c r="CZ49" s="9">
        <f t="shared" si="174"/>
        <v>613.2553606237816</v>
      </c>
      <c r="DA49" s="9">
        <f t="shared" si="75"/>
        <v>10</v>
      </c>
      <c r="DB49" s="9">
        <f t="shared" si="175"/>
        <v>-623.25536062378171</v>
      </c>
      <c r="DC49" s="9">
        <f t="shared" si="176"/>
        <v>-613.25536062378171</v>
      </c>
      <c r="DD49" s="9">
        <f t="shared" si="78"/>
        <v>3900</v>
      </c>
      <c r="DE49" s="9">
        <f t="shared" ca="1" si="54"/>
        <v>-2698.7484154555104</v>
      </c>
      <c r="DF49" s="9">
        <f t="shared" ca="1" si="177"/>
        <v>1201.2515845444896</v>
      </c>
      <c r="DG49" s="9">
        <f t="shared" si="80"/>
        <v>10</v>
      </c>
      <c r="DH49" s="9">
        <f t="shared" ca="1" si="178"/>
        <v>-1211.2515845444893</v>
      </c>
      <c r="DI49" s="9">
        <f t="shared" ca="1" si="179"/>
        <v>-1201.2515845444893</v>
      </c>
      <c r="DJ49" s="9">
        <f t="shared" si="83"/>
        <v>3900</v>
      </c>
      <c r="DK49" s="9">
        <f t="shared" ca="1" si="55"/>
        <v>-2963.346716219829</v>
      </c>
      <c r="DL49" s="9">
        <f t="shared" ca="1" si="180"/>
        <v>936.65328378017102</v>
      </c>
      <c r="DM49" s="9">
        <f t="shared" si="85"/>
        <v>10</v>
      </c>
      <c r="DN49" s="9">
        <f t="shared" ca="1" si="56"/>
        <v>-946.6532837801708</v>
      </c>
      <c r="DO49" s="9">
        <f t="shared" ca="1" si="181"/>
        <v>-936.6532837801708</v>
      </c>
      <c r="DP49" s="9">
        <f t="shared" si="87"/>
        <v>3900</v>
      </c>
      <c r="DQ49" s="9">
        <f t="shared" ca="1" si="57"/>
        <v>-3154.2017353396686</v>
      </c>
      <c r="DR49" s="9">
        <f t="shared" ca="1" si="182"/>
        <v>745.79826466033137</v>
      </c>
      <c r="DS49" s="9">
        <f t="shared" si="89"/>
        <v>10</v>
      </c>
      <c r="DT49" s="9">
        <f t="shared" ca="1" si="58"/>
        <v>-755.79826466033137</v>
      </c>
      <c r="DU49" s="9">
        <f t="shared" ca="1" si="183"/>
        <v>-745.79826466033137</v>
      </c>
    </row>
    <row r="50" spans="1:125" ht="14.45" x14ac:dyDescent="0.35">
      <c r="A50" s="16">
        <f t="shared" si="125"/>
        <v>800</v>
      </c>
      <c r="B50" s="14">
        <f t="shared" si="165"/>
        <v>220</v>
      </c>
      <c r="C50" s="9">
        <f t="shared" si="16"/>
        <v>220</v>
      </c>
      <c r="D50" s="14">
        <f t="shared" si="17"/>
        <v>302</v>
      </c>
      <c r="E50" s="34">
        <f t="shared" si="92"/>
        <v>100</v>
      </c>
      <c r="F50" s="15">
        <f t="shared" si="164"/>
        <v>98</v>
      </c>
      <c r="G50">
        <f t="shared" si="91"/>
        <v>10</v>
      </c>
      <c r="H50">
        <f t="shared" si="91"/>
        <v>1</v>
      </c>
      <c r="I50" s="5">
        <f>GenUnits!$V$12</f>
        <v>400</v>
      </c>
      <c r="J50" s="5">
        <f>GenUnits!$W$12</f>
        <v>122</v>
      </c>
      <c r="K50" s="14">
        <f t="shared" si="60"/>
        <v>302</v>
      </c>
      <c r="L50" s="14">
        <f t="shared" si="166"/>
        <v>400</v>
      </c>
      <c r="M50" s="14">
        <f t="shared" si="167"/>
        <v>122</v>
      </c>
      <c r="N50" s="34">
        <f>GenUnits!$V$11</f>
        <v>1297</v>
      </c>
      <c r="O50" s="34">
        <f>GenUnits!$W$11</f>
        <v>864</v>
      </c>
      <c r="P50" s="14">
        <f t="shared" si="19"/>
        <v>242</v>
      </c>
      <c r="Q50" s="14">
        <f t="shared" si="20"/>
        <v>1</v>
      </c>
      <c r="S50" s="7">
        <f t="shared" si="63"/>
        <v>302</v>
      </c>
      <c r="T50" s="7">
        <f t="shared" si="21"/>
        <v>98</v>
      </c>
      <c r="U50" s="7">
        <f t="shared" si="168"/>
        <v>400</v>
      </c>
      <c r="V50" s="7">
        <f t="shared" si="22"/>
        <v>3020</v>
      </c>
      <c r="W50" s="7">
        <f t="shared" si="23"/>
        <v>98</v>
      </c>
      <c r="X50" s="7">
        <f t="shared" si="169"/>
        <v>3118</v>
      </c>
      <c r="Y50" s="35"/>
      <c r="Z50" s="46"/>
      <c r="AA50" s="44">
        <f t="shared" si="66"/>
        <v>100</v>
      </c>
      <c r="AB50" s="7">
        <f t="shared" si="24"/>
        <v>278</v>
      </c>
      <c r="AC50" s="15">
        <f t="shared" si="25"/>
        <v>24</v>
      </c>
      <c r="AD50" s="8">
        <v>0</v>
      </c>
      <c r="AE50" s="15">
        <f t="shared" si="26"/>
        <v>0</v>
      </c>
      <c r="AF50" s="7">
        <f t="shared" si="67"/>
        <v>98</v>
      </c>
      <c r="AG50" s="7">
        <f t="shared" si="27"/>
        <v>0</v>
      </c>
      <c r="AH50" s="7">
        <f t="shared" si="170"/>
        <v>400</v>
      </c>
      <c r="AI50" s="7" t="b">
        <f t="shared" si="28"/>
        <v>1</v>
      </c>
      <c r="AJ50" s="7"/>
      <c r="AK50" s="7"/>
      <c r="AL50" s="7"/>
      <c r="AM50" s="7"/>
      <c r="AN50" s="7"/>
      <c r="AO50" s="7"/>
      <c r="AP50" s="7"/>
      <c r="AQ50" s="7"/>
      <c r="AR50" s="7"/>
      <c r="AS50" s="7"/>
      <c r="AT50" s="7"/>
      <c r="AU50" s="7"/>
      <c r="AV50" s="7">
        <f t="shared" si="29"/>
        <v>2780</v>
      </c>
      <c r="AW50" s="7">
        <f t="shared" si="30"/>
        <v>240</v>
      </c>
      <c r="AX50" s="7">
        <f t="shared" si="31"/>
        <v>0</v>
      </c>
      <c r="AY50" s="30">
        <f t="shared" si="32"/>
        <v>0</v>
      </c>
      <c r="AZ50" s="30">
        <f t="shared" si="33"/>
        <v>98</v>
      </c>
      <c r="BA50" s="30">
        <f t="shared" si="34"/>
        <v>0</v>
      </c>
      <c r="BB50" s="7">
        <f t="shared" si="171"/>
        <v>3118</v>
      </c>
      <c r="BC50" s="7" t="b">
        <f t="shared" si="35"/>
        <v>1</v>
      </c>
      <c r="BD50" s="7"/>
      <c r="BE50" s="7"/>
      <c r="BF50" s="7"/>
      <c r="BG50" s="7"/>
      <c r="BH50" s="7"/>
      <c r="BI50" s="7"/>
      <c r="BJ50" s="7"/>
      <c r="BK50" s="7"/>
      <c r="BL50" s="7"/>
      <c r="BM50" s="7"/>
      <c r="BN50" s="7"/>
      <c r="BO50" s="7"/>
      <c r="BP50" s="7">
        <f>MATCH($A50,GenUnits!$AX$43:$AX$48,1)</f>
        <v>4</v>
      </c>
      <c r="BQ50" s="7"/>
      <c r="BR50" s="2">
        <f t="shared" ca="1" si="36"/>
        <v>0.6902169860500027</v>
      </c>
      <c r="BS50" s="2">
        <f t="shared" ca="1" si="37"/>
        <v>0.19182986842379629</v>
      </c>
      <c r="BT50" s="2">
        <f t="shared" ca="1" si="38"/>
        <v>0.11795314552620097</v>
      </c>
      <c r="BU50" s="59">
        <f t="shared" ca="1" si="39"/>
        <v>0.85404911550473583</v>
      </c>
      <c r="BV50" s="59">
        <f t="shared" ca="1" si="40"/>
        <v>1</v>
      </c>
      <c r="BW50" s="59">
        <f t="shared" ca="1" si="41"/>
        <v>0.14595088449526419</v>
      </c>
      <c r="BX50" s="2">
        <f t="shared" si="42"/>
        <v>0.55000000000000004</v>
      </c>
      <c r="BY50" s="2">
        <f t="shared" si="43"/>
        <v>0.19672131147540983</v>
      </c>
      <c r="BZ50" s="60">
        <f t="shared" ca="1" si="44"/>
        <v>0.78251737144027811</v>
      </c>
      <c r="CA50" s="60">
        <f t="shared" ca="1" si="45"/>
        <v>0.21748262855972189</v>
      </c>
      <c r="CB50" s="52">
        <v>0</v>
      </c>
      <c r="CC50" s="2"/>
      <c r="CD50" s="7"/>
      <c r="CE50" s="7"/>
      <c r="CF50" s="7"/>
      <c r="CG50" s="7">
        <f t="shared" si="46"/>
        <v>100</v>
      </c>
      <c r="CH50" s="9">
        <f t="shared" si="172"/>
        <v>2545.1202079272252</v>
      </c>
      <c r="CI50" s="7">
        <f t="shared" si="71"/>
        <v>98</v>
      </c>
      <c r="CJ50" s="9">
        <f t="shared" si="47"/>
        <v>474.87979207277453</v>
      </c>
      <c r="CK50" s="7">
        <f t="shared" ca="1" si="48"/>
        <v>2152.0965625039084</v>
      </c>
      <c r="CL50" s="7">
        <f t="shared" ca="1" si="49"/>
        <v>598.12552974539688</v>
      </c>
      <c r="CM50" s="7">
        <f t="shared" ca="1" si="50"/>
        <v>367.77790775069462</v>
      </c>
      <c r="CN50" s="7">
        <f t="shared" ca="1" si="51"/>
        <v>2328.9572029444012</v>
      </c>
      <c r="CO50" s="7">
        <f t="shared" ca="1" si="52"/>
        <v>373.06904135996831</v>
      </c>
      <c r="CP50" s="7">
        <f t="shared" ca="1" si="53"/>
        <v>415.97375569563059</v>
      </c>
      <c r="CQ50" s="7">
        <f t="array" aca="1" ref="CQ50" ca="1">(SUM(IF($AV$5:$BA$5=CQ$5,$AV50:$BA50))*BU50+SUM(IF($AV$5:$BA$5="B",$AV50:$BA50))*BR50)*$Q50</f>
        <v>2607.5498823880666</v>
      </c>
      <c r="CR50" s="7">
        <f t="array" aca="1" ref="CR50" ca="1">(SUM(IF($AV$5:$BA$5=CR$5,$AV50:$BA50))*BV50+SUM(IF($AV$5:$BA$5="B",$AV50:$BA50))*BS50)*$Q50</f>
        <v>64.83849552724314</v>
      </c>
      <c r="CS50" s="7">
        <f t="array" aca="1" ref="CS50" ca="1">(SUM(IF($AV$5:$BA$5=CS$5,$AV50:$BA50))*BW50+SUM(IF($AV$5:$BA$5="B",$AV50:$BA50))*BT50)*$Q50</f>
        <v>445.6116220846904</v>
      </c>
      <c r="CT50" s="7">
        <f t="array" aca="1" ref="CT50" ca="1">(SUM(IF($BF$5:$BL$5=CT$5,IF($BF$4:$BL$4="B",$BF50:$BL50)))*BU50+SUM(IF($BF$5:$BL$5=CT$5,IF($BF$4:$BL$4=CT$4,$BF50:$BL50)))+SUM(IF($BF$5:$BL$5="B",$BF50:$BL50))*BZ50)*$Q50</f>
        <v>0</v>
      </c>
      <c r="CU50" s="7">
        <f t="array" aca="1" ref="CU50" ca="1">(SUM(IF($BF$5:$BL$5=CU$5,IF($BF$4:$BL$4="B",$BF50:$BL50)))*BV50+SUM(IF($BF$5:$BL$5=CU$5,IF($BF$4:$BL$4=CU$4,$BF50:$BL50)))+SUM(IF($BF$5:$BL$5="B",$BF50:$BL50))*CA50)*$Q50</f>
        <v>0</v>
      </c>
      <c r="CV50" s="7">
        <f t="array" aca="1" ref="CV50" ca="1">(SUM(IF($BF$5:$BL$5=CV$5,IF($BF$4:$BL$4="B",$BF50:$BL50)))*BW50+SUM(IF($BF$5:$BL$5=CV$5,IF($BF$4:$BL$4=CV$4,$BF50:$BL50)))+SUM(IF($BF$5:$BL$5="B",$BF50:$BL50))*CB50)*$Q50</f>
        <v>0</v>
      </c>
      <c r="CW50" s="7"/>
      <c r="CX50" s="9">
        <f t="shared" si="72"/>
        <v>3020</v>
      </c>
      <c r="CY50" s="9">
        <f t="shared" si="173"/>
        <v>-2545.1202079272252</v>
      </c>
      <c r="CZ50" s="9">
        <f t="shared" si="174"/>
        <v>474.87979207277476</v>
      </c>
      <c r="DA50" s="9">
        <f t="shared" si="75"/>
        <v>98</v>
      </c>
      <c r="DB50" s="9">
        <f t="shared" si="175"/>
        <v>-572.87979207277453</v>
      </c>
      <c r="DC50" s="9">
        <f t="shared" si="176"/>
        <v>-474.87979207277453</v>
      </c>
      <c r="DD50" s="9">
        <f t="shared" si="78"/>
        <v>3020</v>
      </c>
      <c r="DE50" s="9">
        <f t="shared" ca="1" si="54"/>
        <v>-2152.0965625039084</v>
      </c>
      <c r="DF50" s="9">
        <f t="shared" ca="1" si="177"/>
        <v>867.90343749609156</v>
      </c>
      <c r="DG50" s="9">
        <f t="shared" si="80"/>
        <v>98</v>
      </c>
      <c r="DH50" s="9">
        <f t="shared" ca="1" si="178"/>
        <v>-965.90343749609156</v>
      </c>
      <c r="DI50" s="9">
        <f t="shared" ca="1" si="179"/>
        <v>-867.90343749609156</v>
      </c>
      <c r="DJ50" s="9">
        <f t="shared" si="83"/>
        <v>3020</v>
      </c>
      <c r="DK50" s="9">
        <f t="shared" ca="1" si="55"/>
        <v>-2328.9572029444012</v>
      </c>
      <c r="DL50" s="9">
        <f t="shared" ca="1" si="180"/>
        <v>691.04279705559884</v>
      </c>
      <c r="DM50" s="9">
        <f t="shared" si="85"/>
        <v>98</v>
      </c>
      <c r="DN50" s="9">
        <f t="shared" ca="1" si="56"/>
        <v>-789.04279705559884</v>
      </c>
      <c r="DO50" s="9">
        <f t="shared" ca="1" si="181"/>
        <v>-691.04279705559884</v>
      </c>
      <c r="DP50" s="9">
        <f t="shared" si="87"/>
        <v>3020</v>
      </c>
      <c r="DQ50" s="9">
        <f t="shared" ca="1" si="57"/>
        <v>-2607.5498823880666</v>
      </c>
      <c r="DR50" s="9">
        <f t="shared" ca="1" si="182"/>
        <v>412.45011761193336</v>
      </c>
      <c r="DS50" s="9">
        <f t="shared" si="89"/>
        <v>98</v>
      </c>
      <c r="DT50" s="9">
        <f t="shared" ca="1" si="58"/>
        <v>-510.45011761193354</v>
      </c>
      <c r="DU50" s="9">
        <f t="shared" ca="1" si="183"/>
        <v>-412.45011761193354</v>
      </c>
    </row>
    <row r="51" spans="1:125" ht="14.45" x14ac:dyDescent="0.35">
      <c r="A51" s="16">
        <f t="shared" si="125"/>
        <v>800</v>
      </c>
      <c r="B51" s="14">
        <f t="shared" si="165"/>
        <v>220</v>
      </c>
      <c r="C51" s="9">
        <f t="shared" si="16"/>
        <v>220</v>
      </c>
      <c r="D51" s="14">
        <f t="shared" si="17"/>
        <v>302</v>
      </c>
      <c r="E51" s="34">
        <f t="shared" si="92"/>
        <v>220</v>
      </c>
      <c r="F51" s="15">
        <f t="shared" si="164"/>
        <v>98</v>
      </c>
      <c r="G51">
        <f t="shared" si="91"/>
        <v>10</v>
      </c>
      <c r="H51">
        <f t="shared" si="91"/>
        <v>1</v>
      </c>
      <c r="I51" s="5">
        <f>GenUnits!$V$12</f>
        <v>400</v>
      </c>
      <c r="J51" s="5">
        <f>GenUnits!$W$12</f>
        <v>122</v>
      </c>
      <c r="K51" s="14">
        <f t="shared" si="60"/>
        <v>302</v>
      </c>
      <c r="L51" s="14">
        <f t="shared" si="166"/>
        <v>400</v>
      </c>
      <c r="M51" s="14">
        <f t="shared" si="167"/>
        <v>122</v>
      </c>
      <c r="N51" s="34">
        <f>GenUnits!$V$11</f>
        <v>1297</v>
      </c>
      <c r="O51" s="34">
        <f>GenUnits!$W$11</f>
        <v>864</v>
      </c>
      <c r="P51" s="14">
        <f t="shared" si="19"/>
        <v>242</v>
      </c>
      <c r="Q51" s="14">
        <f t="shared" si="20"/>
        <v>1</v>
      </c>
      <c r="S51" s="7">
        <f t="shared" si="63"/>
        <v>302</v>
      </c>
      <c r="T51" s="7">
        <f t="shared" si="21"/>
        <v>98</v>
      </c>
      <c r="U51" s="7">
        <f t="shared" si="168"/>
        <v>400</v>
      </c>
      <c r="V51" s="7">
        <f t="shared" si="22"/>
        <v>3020</v>
      </c>
      <c r="W51" s="7">
        <f t="shared" si="23"/>
        <v>98</v>
      </c>
      <c r="X51" s="7">
        <f t="shared" si="169"/>
        <v>3118</v>
      </c>
      <c r="Y51" s="35"/>
      <c r="Z51" s="46"/>
      <c r="AA51" s="44">
        <f t="shared" si="66"/>
        <v>220</v>
      </c>
      <c r="AB51" s="7">
        <f t="shared" si="24"/>
        <v>278</v>
      </c>
      <c r="AC51" s="15">
        <f t="shared" si="25"/>
        <v>24</v>
      </c>
      <c r="AD51" s="8">
        <v>0</v>
      </c>
      <c r="AE51" s="15">
        <f t="shared" si="26"/>
        <v>0</v>
      </c>
      <c r="AF51" s="7">
        <f t="shared" si="67"/>
        <v>98</v>
      </c>
      <c r="AG51" s="7">
        <f t="shared" si="27"/>
        <v>0</v>
      </c>
      <c r="AH51" s="7">
        <f t="shared" si="170"/>
        <v>400</v>
      </c>
      <c r="AI51" s="7" t="b">
        <f t="shared" si="28"/>
        <v>1</v>
      </c>
      <c r="AJ51" s="7"/>
      <c r="AK51" s="7"/>
      <c r="AL51" s="7"/>
      <c r="AM51" s="7"/>
      <c r="AN51" s="7"/>
      <c r="AO51" s="7"/>
      <c r="AP51" s="7"/>
      <c r="AQ51" s="7"/>
      <c r="AR51" s="7"/>
      <c r="AS51" s="7"/>
      <c r="AT51" s="7"/>
      <c r="AU51" s="7"/>
      <c r="AV51" s="7">
        <f t="shared" si="29"/>
        <v>2780</v>
      </c>
      <c r="AW51" s="7">
        <f t="shared" si="30"/>
        <v>240</v>
      </c>
      <c r="AX51" s="7">
        <f t="shared" si="31"/>
        <v>0</v>
      </c>
      <c r="AY51" s="30">
        <f t="shared" si="32"/>
        <v>0</v>
      </c>
      <c r="AZ51" s="30">
        <f t="shared" si="33"/>
        <v>98</v>
      </c>
      <c r="BA51" s="30">
        <f t="shared" si="34"/>
        <v>0</v>
      </c>
      <c r="BB51" s="7">
        <f t="shared" si="171"/>
        <v>3118</v>
      </c>
      <c r="BC51" s="7" t="b">
        <f t="shared" si="35"/>
        <v>1</v>
      </c>
      <c r="BD51" s="7"/>
      <c r="BE51" s="7"/>
      <c r="BF51" s="7"/>
      <c r="BG51" s="7"/>
      <c r="BH51" s="7"/>
      <c r="BI51" s="7"/>
      <c r="BJ51" s="7"/>
      <c r="BK51" s="7"/>
      <c r="BL51" s="7"/>
      <c r="BM51" s="7"/>
      <c r="BN51" s="7"/>
      <c r="BO51" s="7"/>
      <c r="BP51" s="7">
        <f>MATCH($A51,GenUnits!$AX$43:$AX$48,1)</f>
        <v>4</v>
      </c>
      <c r="BQ51" s="7"/>
      <c r="BR51" s="2">
        <f t="shared" ca="1" si="36"/>
        <v>0.6902169860500027</v>
      </c>
      <c r="BS51" s="2">
        <f t="shared" ca="1" si="37"/>
        <v>0.19182986842379629</v>
      </c>
      <c r="BT51" s="2">
        <f t="shared" ca="1" si="38"/>
        <v>0.11795314552620097</v>
      </c>
      <c r="BU51" s="59">
        <f t="shared" ca="1" si="39"/>
        <v>0.85404911550473583</v>
      </c>
      <c r="BV51" s="59">
        <f t="shared" ca="1" si="40"/>
        <v>1</v>
      </c>
      <c r="BW51" s="59">
        <f t="shared" ca="1" si="41"/>
        <v>0.14595088449526419</v>
      </c>
      <c r="BX51" s="2">
        <f t="shared" si="42"/>
        <v>0.55000000000000004</v>
      </c>
      <c r="BY51" s="2">
        <f t="shared" si="43"/>
        <v>0.19672131147540983</v>
      </c>
      <c r="BZ51" s="60">
        <f t="shared" ca="1" si="44"/>
        <v>0.78251737144027811</v>
      </c>
      <c r="CA51" s="60">
        <f t="shared" ca="1" si="45"/>
        <v>0.21748262855972189</v>
      </c>
      <c r="CB51" s="52">
        <v>0</v>
      </c>
      <c r="CC51" s="2"/>
      <c r="CD51" s="7"/>
      <c r="CE51" s="7"/>
      <c r="CF51" s="7"/>
      <c r="CG51" s="7">
        <f t="shared" si="46"/>
        <v>220</v>
      </c>
      <c r="CH51" s="9">
        <f t="shared" si="172"/>
        <v>2545.1202079272252</v>
      </c>
      <c r="CI51" s="7">
        <f t="shared" si="71"/>
        <v>98</v>
      </c>
      <c r="CJ51" s="9">
        <f t="shared" si="47"/>
        <v>474.87979207277453</v>
      </c>
      <c r="CK51" s="7">
        <f t="shared" ca="1" si="48"/>
        <v>2152.0965625039084</v>
      </c>
      <c r="CL51" s="7">
        <f t="shared" ca="1" si="49"/>
        <v>598.12552974539688</v>
      </c>
      <c r="CM51" s="7">
        <f t="shared" ca="1" si="50"/>
        <v>367.77790775069462</v>
      </c>
      <c r="CN51" s="7">
        <f t="shared" ca="1" si="51"/>
        <v>2328.9572029444012</v>
      </c>
      <c r="CO51" s="7">
        <f t="shared" ca="1" si="52"/>
        <v>373.06904135996831</v>
      </c>
      <c r="CP51" s="7">
        <f t="shared" ca="1" si="53"/>
        <v>415.97375569563059</v>
      </c>
      <c r="CQ51" s="7">
        <f t="array" aca="1" ref="CQ51" ca="1">(SUM(IF($AV$5:$BA$5=CQ$5,$AV51:$BA51))*BU51+SUM(IF($AV$5:$BA$5="B",$AV51:$BA51))*BR51)*$Q51</f>
        <v>2607.5498823880666</v>
      </c>
      <c r="CR51" s="7">
        <f t="array" aca="1" ref="CR51" ca="1">(SUM(IF($AV$5:$BA$5=CR$5,$AV51:$BA51))*BV51+SUM(IF($AV$5:$BA$5="B",$AV51:$BA51))*BS51)*$Q51</f>
        <v>64.83849552724314</v>
      </c>
      <c r="CS51" s="7">
        <f t="array" aca="1" ref="CS51" ca="1">(SUM(IF($AV$5:$BA$5=CS$5,$AV51:$BA51))*BW51+SUM(IF($AV$5:$BA$5="B",$AV51:$BA51))*BT51)*$Q51</f>
        <v>445.6116220846904</v>
      </c>
      <c r="CT51" s="7">
        <f t="array" aca="1" ref="CT51" ca="1">(SUM(IF($BF$5:$BL$5=CT$5,IF($BF$4:$BL$4="B",$BF51:$BL51)))*BU51+SUM(IF($BF$5:$BL$5=CT$5,IF($BF$4:$BL$4=CT$4,$BF51:$BL51)))+SUM(IF($BF$5:$BL$5="B",$BF51:$BL51))*BZ51)*$Q51</f>
        <v>0</v>
      </c>
      <c r="CU51" s="7">
        <f t="array" aca="1" ref="CU51" ca="1">(SUM(IF($BF$5:$BL$5=CU$5,IF($BF$4:$BL$4="B",$BF51:$BL51)))*BV51+SUM(IF($BF$5:$BL$5=CU$5,IF($BF$4:$BL$4=CU$4,$BF51:$BL51)))+SUM(IF($BF$5:$BL$5="B",$BF51:$BL51))*CA51)*$Q51</f>
        <v>0</v>
      </c>
      <c r="CV51" s="7">
        <f t="array" aca="1" ref="CV51" ca="1">(SUM(IF($BF$5:$BL$5=CV$5,IF($BF$4:$BL$4="B",$BF51:$BL51)))*BW51+SUM(IF($BF$5:$BL$5=CV$5,IF($BF$4:$BL$4=CV$4,$BF51:$BL51)))+SUM(IF($BF$5:$BL$5="B",$BF51:$BL51))*CB51)*$Q51</f>
        <v>0</v>
      </c>
      <c r="CW51" s="7"/>
      <c r="CX51" s="9">
        <f t="shared" si="72"/>
        <v>3020</v>
      </c>
      <c r="CY51" s="9">
        <f t="shared" si="173"/>
        <v>-2545.1202079272252</v>
      </c>
      <c r="CZ51" s="9">
        <f t="shared" si="174"/>
        <v>474.87979207277476</v>
      </c>
      <c r="DA51" s="9">
        <f t="shared" si="75"/>
        <v>98</v>
      </c>
      <c r="DB51" s="9">
        <f t="shared" si="175"/>
        <v>-572.87979207277453</v>
      </c>
      <c r="DC51" s="9">
        <f t="shared" si="176"/>
        <v>-474.87979207277453</v>
      </c>
      <c r="DD51" s="9">
        <f t="shared" si="78"/>
        <v>3020</v>
      </c>
      <c r="DE51" s="9">
        <f t="shared" ca="1" si="54"/>
        <v>-2152.0965625039084</v>
      </c>
      <c r="DF51" s="9">
        <f t="shared" ca="1" si="177"/>
        <v>867.90343749609156</v>
      </c>
      <c r="DG51" s="9">
        <f t="shared" si="80"/>
        <v>98</v>
      </c>
      <c r="DH51" s="9">
        <f t="shared" ca="1" si="178"/>
        <v>-965.90343749609156</v>
      </c>
      <c r="DI51" s="9">
        <f t="shared" ca="1" si="179"/>
        <v>-867.90343749609156</v>
      </c>
      <c r="DJ51" s="9">
        <f t="shared" si="83"/>
        <v>3020</v>
      </c>
      <c r="DK51" s="9">
        <f t="shared" ca="1" si="55"/>
        <v>-2328.9572029444012</v>
      </c>
      <c r="DL51" s="9">
        <f t="shared" ca="1" si="180"/>
        <v>691.04279705559884</v>
      </c>
      <c r="DM51" s="9">
        <f t="shared" si="85"/>
        <v>98</v>
      </c>
      <c r="DN51" s="9">
        <f t="shared" ca="1" si="56"/>
        <v>-789.04279705559884</v>
      </c>
      <c r="DO51" s="9">
        <f t="shared" ca="1" si="181"/>
        <v>-691.04279705559884</v>
      </c>
      <c r="DP51" s="9">
        <f t="shared" si="87"/>
        <v>3020</v>
      </c>
      <c r="DQ51" s="9">
        <f t="shared" ca="1" si="57"/>
        <v>-2607.5498823880666</v>
      </c>
      <c r="DR51" s="9">
        <f t="shared" ca="1" si="182"/>
        <v>412.45011761193336</v>
      </c>
      <c r="DS51" s="9">
        <f t="shared" si="89"/>
        <v>98</v>
      </c>
      <c r="DT51" s="9">
        <f t="shared" ca="1" si="58"/>
        <v>-510.45011761193354</v>
      </c>
      <c r="DU51" s="9">
        <f t="shared" ca="1" si="183"/>
        <v>-412.45011761193354</v>
      </c>
    </row>
    <row r="52" spans="1:125" ht="14.45" x14ac:dyDescent="0.35">
      <c r="A52" s="16">
        <f t="shared" si="125"/>
        <v>1000</v>
      </c>
      <c r="B52" s="14">
        <f t="shared" si="165"/>
        <v>220</v>
      </c>
      <c r="C52" s="9">
        <f t="shared" si="16"/>
        <v>100</v>
      </c>
      <c r="D52" s="14">
        <f t="shared" si="17"/>
        <v>502</v>
      </c>
      <c r="E52" s="34">
        <f t="shared" si="92"/>
        <v>0</v>
      </c>
      <c r="F52" s="15">
        <f t="shared" si="164"/>
        <v>-102</v>
      </c>
      <c r="G52">
        <f t="shared" si="91"/>
        <v>10</v>
      </c>
      <c r="H52">
        <f t="shared" si="91"/>
        <v>1</v>
      </c>
      <c r="I52" s="5">
        <f>GenUnits!$V$12</f>
        <v>400</v>
      </c>
      <c r="J52" s="5">
        <f>GenUnits!$W$12</f>
        <v>122</v>
      </c>
      <c r="K52" s="14">
        <f t="shared" si="60"/>
        <v>502</v>
      </c>
      <c r="L52" s="14">
        <f t="shared" si="166"/>
        <v>502</v>
      </c>
      <c r="M52" s="14">
        <f t="shared" si="167"/>
        <v>122</v>
      </c>
      <c r="N52" s="34">
        <f>GenUnits!$V$11</f>
        <v>1297</v>
      </c>
      <c r="O52" s="34">
        <f>GenUnits!$W$11</f>
        <v>864</v>
      </c>
      <c r="P52" s="14">
        <f t="shared" si="19"/>
        <v>442</v>
      </c>
      <c r="Q52" s="14">
        <f t="shared" si="20"/>
        <v>1</v>
      </c>
      <c r="S52" s="7">
        <f t="shared" si="63"/>
        <v>502</v>
      </c>
      <c r="T52" s="7">
        <f t="shared" si="21"/>
        <v>0</v>
      </c>
      <c r="U52" s="7">
        <f t="shared" si="168"/>
        <v>502</v>
      </c>
      <c r="V52" s="7">
        <f t="shared" si="22"/>
        <v>5020</v>
      </c>
      <c r="W52" s="7">
        <f t="shared" si="23"/>
        <v>0</v>
      </c>
      <c r="X52" s="7">
        <f t="shared" si="169"/>
        <v>5020</v>
      </c>
      <c r="Y52" s="35"/>
      <c r="Z52" s="46" t="str">
        <f>$D52&amp;" MW"</f>
        <v>502 MW</v>
      </c>
      <c r="AA52" s="44">
        <f t="shared" si="66"/>
        <v>0</v>
      </c>
      <c r="AB52" s="7">
        <f t="shared" si="24"/>
        <v>380</v>
      </c>
      <c r="AC52" s="15">
        <f t="shared" si="25"/>
        <v>122</v>
      </c>
      <c r="AD52" s="8">
        <v>0</v>
      </c>
      <c r="AE52" s="15">
        <f t="shared" si="26"/>
        <v>0</v>
      </c>
      <c r="AF52" s="7">
        <f t="shared" si="67"/>
        <v>0</v>
      </c>
      <c r="AG52" s="7">
        <f t="shared" si="27"/>
        <v>0</v>
      </c>
      <c r="AH52" s="7">
        <f t="shared" si="170"/>
        <v>502</v>
      </c>
      <c r="AI52" s="7" t="b">
        <f t="shared" si="28"/>
        <v>1</v>
      </c>
      <c r="AJ52" s="7"/>
      <c r="AK52" s="7"/>
      <c r="AL52" s="7"/>
      <c r="AM52" s="7"/>
      <c r="AN52" s="7"/>
      <c r="AO52" s="7"/>
      <c r="AP52" s="7"/>
      <c r="AQ52" s="7"/>
      <c r="AR52" s="7"/>
      <c r="AS52" s="7"/>
      <c r="AT52" s="7"/>
      <c r="AU52" s="7"/>
      <c r="AV52" s="7">
        <f t="shared" si="29"/>
        <v>3800</v>
      </c>
      <c r="AW52" s="7">
        <f t="shared" si="30"/>
        <v>1220</v>
      </c>
      <c r="AX52" s="7">
        <f t="shared" si="31"/>
        <v>0</v>
      </c>
      <c r="AY52" s="30">
        <f t="shared" si="32"/>
        <v>0</v>
      </c>
      <c r="AZ52" s="30">
        <f t="shared" si="33"/>
        <v>0</v>
      </c>
      <c r="BA52" s="30">
        <f t="shared" si="34"/>
        <v>0</v>
      </c>
      <c r="BB52" s="7">
        <f t="shared" si="171"/>
        <v>5020</v>
      </c>
      <c r="BC52" s="7" t="b">
        <f t="shared" si="35"/>
        <v>1</v>
      </c>
      <c r="BD52" s="7"/>
      <c r="BE52" s="7"/>
      <c r="BF52" s="7"/>
      <c r="BG52" s="7"/>
      <c r="BH52" s="7"/>
      <c r="BI52" s="7"/>
      <c r="BJ52" s="7"/>
      <c r="BK52" s="7"/>
      <c r="BL52" s="7"/>
      <c r="BM52" s="7"/>
      <c r="BN52" s="7"/>
      <c r="BO52" s="7"/>
      <c r="BP52" s="7">
        <f>MATCH($A52,GenUnits!$AX$43:$AX$48,1)</f>
        <v>6</v>
      </c>
      <c r="BQ52" s="7"/>
      <c r="BR52" s="2">
        <f t="shared" ca="1" si="36"/>
        <v>0.47992057321381393</v>
      </c>
      <c r="BS52" s="2">
        <f t="shared" ca="1" si="37"/>
        <v>0.15285248479983765</v>
      </c>
      <c r="BT52" s="2">
        <f t="shared" ca="1" si="38"/>
        <v>0.36722694198634848</v>
      </c>
      <c r="BU52" s="59">
        <f t="shared" ca="1" si="39"/>
        <v>0.56651358187649192</v>
      </c>
      <c r="BV52" s="59">
        <f t="shared" ca="1" si="40"/>
        <v>1</v>
      </c>
      <c r="BW52" s="59">
        <f t="shared" ca="1" si="41"/>
        <v>0.43348641812350802</v>
      </c>
      <c r="BX52" s="2">
        <f t="shared" si="42"/>
        <v>0.19920318725099601</v>
      </c>
      <c r="BY52" s="2">
        <f t="shared" si="43"/>
        <v>1</v>
      </c>
      <c r="BZ52" s="60">
        <f t="shared" ca="1" si="44"/>
        <v>0.75844027670890501</v>
      </c>
      <c r="CA52" s="60">
        <f t="shared" ca="1" si="45"/>
        <v>0.24155972329109496</v>
      </c>
      <c r="CB52" s="52">
        <v>0</v>
      </c>
      <c r="CC52" s="2"/>
      <c r="CD52" s="7"/>
      <c r="CE52" s="7"/>
      <c r="CF52" s="7"/>
      <c r="CG52" s="7">
        <f t="shared" si="46"/>
        <v>0</v>
      </c>
      <c r="CH52" s="9">
        <f t="shared" si="172"/>
        <v>3744.0713053479012</v>
      </c>
      <c r="CI52" s="7">
        <f t="shared" si="71"/>
        <v>0</v>
      </c>
      <c r="CJ52" s="9">
        <f t="shared" si="47"/>
        <v>1275.928694652099</v>
      </c>
      <c r="CK52" s="7">
        <f t="shared" ca="1" si="48"/>
        <v>2409.201277533346</v>
      </c>
      <c r="CL52" s="7">
        <f t="shared" ca="1" si="49"/>
        <v>767.31947369518502</v>
      </c>
      <c r="CM52" s="7">
        <f t="shared" ca="1" si="50"/>
        <v>1843.4792487714694</v>
      </c>
      <c r="CN52" s="7">
        <f t="shared" ca="1" si="51"/>
        <v>3478.1609412414159</v>
      </c>
      <c r="CO52" s="7">
        <f t="shared" ca="1" si="52"/>
        <v>152.85248479983764</v>
      </c>
      <c r="CP52" s="7">
        <f t="shared" ca="1" si="53"/>
        <v>1388.9865739587465</v>
      </c>
      <c r="CQ52" s="7">
        <f t="array" aca="1" ref="CQ52" ca="1">(SUM(IF($AV$5:$BA$5=CQ$5,$AV52:$BA52))*BU52+SUM(IF($AV$5:$BA$5="B",$AV52:$BA52))*BR52)*$Q52</f>
        <v>2738.2547104515224</v>
      </c>
      <c r="CR52" s="7">
        <f t="array" aca="1" ref="CR52" ca="1">(SUM(IF($AV$5:$BA$5=CR$5,$AV52:$BA52))*BV52+SUM(IF($AV$5:$BA$5="B",$AV52:$BA52))*BS52)*$Q52</f>
        <v>186.48003145580194</v>
      </c>
      <c r="CS52" s="7">
        <f t="array" aca="1" ref="CS52" ca="1">(SUM(IF($AV$5:$BA$5=CS$5,$AV52:$BA52))*BW52+SUM(IF($AV$5:$BA$5="B",$AV52:$BA52))*BT52)*$Q52</f>
        <v>2095.2652580926756</v>
      </c>
      <c r="CT52" s="7">
        <f t="array" aca="1" ref="CT52" ca="1">(SUM(IF($BF$5:$BL$5=CT$5,IF($BF$4:$BL$4="B",$BF52:$BL52)))*BU52+SUM(IF($BF$5:$BL$5=CT$5,IF($BF$4:$BL$4=CT$4,$BF52:$BL52)))+SUM(IF($BF$5:$BL$5="B",$BF52:$BL52))*BZ52)*$Q52</f>
        <v>0</v>
      </c>
      <c r="CU52" s="7">
        <f t="array" aca="1" ref="CU52" ca="1">(SUM(IF($BF$5:$BL$5=CU$5,IF($BF$4:$BL$4="B",$BF52:$BL52)))*BV52+SUM(IF($BF$5:$BL$5=CU$5,IF($BF$4:$BL$4=CU$4,$BF52:$BL52)))+SUM(IF($BF$5:$BL$5="B",$BF52:$BL52))*CA52)*$Q52</f>
        <v>0</v>
      </c>
      <c r="CV52" s="7">
        <f t="array" aca="1" ref="CV52" ca="1">(SUM(IF($BF$5:$BL$5=CV$5,IF($BF$4:$BL$4="B",$BF52:$BL52)))*BW52+SUM(IF($BF$5:$BL$5=CV$5,IF($BF$4:$BL$4=CV$4,$BF52:$BL52)))+SUM(IF($BF$5:$BL$5="B",$BF52:$BL52))*CB52)*$Q52</f>
        <v>0</v>
      </c>
      <c r="CW52" s="7"/>
      <c r="CX52" s="9">
        <f t="shared" si="72"/>
        <v>5020</v>
      </c>
      <c r="CY52" s="9">
        <f t="shared" si="173"/>
        <v>-3744.0713053479012</v>
      </c>
      <c r="CZ52" s="9">
        <f t="shared" si="174"/>
        <v>1275.9286946520988</v>
      </c>
      <c r="DA52" s="9">
        <f t="shared" si="75"/>
        <v>0</v>
      </c>
      <c r="DB52" s="9">
        <f t="shared" si="175"/>
        <v>-1275.928694652099</v>
      </c>
      <c r="DC52" s="9">
        <f t="shared" si="176"/>
        <v>-1275.928694652099</v>
      </c>
      <c r="DD52" s="9">
        <f t="shared" si="78"/>
        <v>5020</v>
      </c>
      <c r="DE52" s="9">
        <f t="shared" ca="1" si="54"/>
        <v>-2409.201277533346</v>
      </c>
      <c r="DF52" s="9">
        <f t="shared" ca="1" si="177"/>
        <v>2610.798722466654</v>
      </c>
      <c r="DG52" s="9">
        <f t="shared" si="80"/>
        <v>0</v>
      </c>
      <c r="DH52" s="9">
        <f t="shared" ca="1" si="178"/>
        <v>-2610.7987224666545</v>
      </c>
      <c r="DI52" s="9">
        <f t="shared" ca="1" si="179"/>
        <v>-2610.7987224666545</v>
      </c>
      <c r="DJ52" s="9">
        <f t="shared" si="83"/>
        <v>5020</v>
      </c>
      <c r="DK52" s="9">
        <f t="shared" ca="1" si="55"/>
        <v>-3478.1609412414159</v>
      </c>
      <c r="DL52" s="9">
        <f t="shared" ca="1" si="180"/>
        <v>1541.8390587585841</v>
      </c>
      <c r="DM52" s="9">
        <f t="shared" si="85"/>
        <v>0</v>
      </c>
      <c r="DN52" s="9">
        <f t="shared" ca="1" si="56"/>
        <v>-1541.8390587585841</v>
      </c>
      <c r="DO52" s="9">
        <f t="shared" ca="1" si="181"/>
        <v>-1541.8390587585841</v>
      </c>
      <c r="DP52" s="9">
        <f t="shared" si="87"/>
        <v>5020</v>
      </c>
      <c r="DQ52" s="9">
        <f t="shared" ca="1" si="57"/>
        <v>-2738.2547104515224</v>
      </c>
      <c r="DR52" s="9">
        <f t="shared" ca="1" si="182"/>
        <v>2281.7452895484776</v>
      </c>
      <c r="DS52" s="9">
        <f t="shared" si="89"/>
        <v>0</v>
      </c>
      <c r="DT52" s="9">
        <f t="shared" ca="1" si="58"/>
        <v>-2281.7452895484776</v>
      </c>
      <c r="DU52" s="9">
        <f t="shared" ca="1" si="183"/>
        <v>-2281.7452895484776</v>
      </c>
    </row>
    <row r="53" spans="1:125" ht="14.45" x14ac:dyDescent="0.35">
      <c r="A53" s="16">
        <f t="shared" si="125"/>
        <v>1000</v>
      </c>
      <c r="B53" s="14">
        <f t="shared" si="165"/>
        <v>220</v>
      </c>
      <c r="C53" s="9">
        <f t="shared" si="16"/>
        <v>100</v>
      </c>
      <c r="D53" s="14">
        <f t="shared" si="17"/>
        <v>502</v>
      </c>
      <c r="E53" s="34">
        <f t="shared" si="92"/>
        <v>10</v>
      </c>
      <c r="F53" s="15">
        <f t="shared" si="164"/>
        <v>-102</v>
      </c>
      <c r="G53">
        <f t="shared" si="91"/>
        <v>10</v>
      </c>
      <c r="H53">
        <f t="shared" si="91"/>
        <v>1</v>
      </c>
      <c r="I53" s="5">
        <f>GenUnits!$V$12</f>
        <v>400</v>
      </c>
      <c r="J53" s="5">
        <f>GenUnits!$W$12</f>
        <v>122</v>
      </c>
      <c r="K53" s="14">
        <f t="shared" si="60"/>
        <v>502</v>
      </c>
      <c r="L53" s="14">
        <f t="shared" si="166"/>
        <v>502</v>
      </c>
      <c r="M53" s="14">
        <f t="shared" si="167"/>
        <v>122</v>
      </c>
      <c r="N53" s="34">
        <f>GenUnits!$V$11</f>
        <v>1297</v>
      </c>
      <c r="O53" s="34">
        <f>GenUnits!$W$11</f>
        <v>864</v>
      </c>
      <c r="P53" s="14">
        <f t="shared" si="19"/>
        <v>442</v>
      </c>
      <c r="Q53" s="14">
        <f t="shared" si="20"/>
        <v>1</v>
      </c>
      <c r="S53" s="7">
        <f t="shared" si="63"/>
        <v>502</v>
      </c>
      <c r="T53" s="7">
        <f t="shared" si="21"/>
        <v>0</v>
      </c>
      <c r="U53" s="7">
        <f t="shared" si="168"/>
        <v>502</v>
      </c>
      <c r="V53" s="7">
        <f t="shared" si="22"/>
        <v>5020</v>
      </c>
      <c r="W53" s="7">
        <f t="shared" si="23"/>
        <v>0</v>
      </c>
      <c r="X53" s="7">
        <f t="shared" si="169"/>
        <v>5020</v>
      </c>
      <c r="Y53" s="35"/>
      <c r="Z53" s="35"/>
      <c r="AA53" s="44">
        <f t="shared" si="66"/>
        <v>10</v>
      </c>
      <c r="AB53" s="7">
        <f t="shared" si="24"/>
        <v>380</v>
      </c>
      <c r="AC53" s="15">
        <f t="shared" si="25"/>
        <v>122</v>
      </c>
      <c r="AD53" s="8">
        <v>0</v>
      </c>
      <c r="AE53" s="15">
        <f t="shared" si="26"/>
        <v>0</v>
      </c>
      <c r="AF53" s="7">
        <f t="shared" si="67"/>
        <v>0</v>
      </c>
      <c r="AG53" s="7">
        <f t="shared" si="27"/>
        <v>0</v>
      </c>
      <c r="AH53" s="7">
        <f t="shared" si="170"/>
        <v>502</v>
      </c>
      <c r="AI53" s="7" t="b">
        <f t="shared" si="28"/>
        <v>1</v>
      </c>
      <c r="AJ53" s="7"/>
      <c r="AK53" s="7"/>
      <c r="AL53" s="7"/>
      <c r="AM53" s="7"/>
      <c r="AN53" s="7"/>
      <c r="AO53" s="7"/>
      <c r="AP53" s="7"/>
      <c r="AQ53" s="7"/>
      <c r="AR53" s="7"/>
      <c r="AS53" s="7"/>
      <c r="AT53" s="7"/>
      <c r="AU53" s="7"/>
      <c r="AV53" s="7">
        <f t="shared" si="29"/>
        <v>3800</v>
      </c>
      <c r="AW53" s="7">
        <f t="shared" si="30"/>
        <v>1220</v>
      </c>
      <c r="AX53" s="7">
        <f t="shared" si="31"/>
        <v>0</v>
      </c>
      <c r="AY53" s="30">
        <f t="shared" si="32"/>
        <v>0</v>
      </c>
      <c r="AZ53" s="30">
        <f t="shared" si="33"/>
        <v>0</v>
      </c>
      <c r="BA53" s="30">
        <f t="shared" si="34"/>
        <v>0</v>
      </c>
      <c r="BB53" s="7">
        <f t="shared" si="171"/>
        <v>5020</v>
      </c>
      <c r="BC53" s="7" t="b">
        <f t="shared" si="35"/>
        <v>1</v>
      </c>
      <c r="BD53" s="7"/>
      <c r="BE53" s="7"/>
      <c r="BF53" s="7"/>
      <c r="BG53" s="7"/>
      <c r="BH53" s="7"/>
      <c r="BI53" s="7"/>
      <c r="BJ53" s="7"/>
      <c r="BK53" s="7"/>
      <c r="BL53" s="7"/>
      <c r="BM53" s="7"/>
      <c r="BN53" s="7"/>
      <c r="BO53" s="7"/>
      <c r="BP53" s="7">
        <f>MATCH($A53,GenUnits!$AX$43:$AX$48,1)</f>
        <v>6</v>
      </c>
      <c r="BQ53" s="7"/>
      <c r="BR53" s="2">
        <f t="shared" ca="1" si="36"/>
        <v>0.47992057321381393</v>
      </c>
      <c r="BS53" s="2">
        <f t="shared" ca="1" si="37"/>
        <v>0.15285248479983765</v>
      </c>
      <c r="BT53" s="2">
        <f t="shared" ca="1" si="38"/>
        <v>0.36722694198634848</v>
      </c>
      <c r="BU53" s="59">
        <f t="shared" ca="1" si="39"/>
        <v>0.56651358187649192</v>
      </c>
      <c r="BV53" s="59">
        <f t="shared" ca="1" si="40"/>
        <v>1</v>
      </c>
      <c r="BW53" s="59">
        <f t="shared" ca="1" si="41"/>
        <v>0.43348641812350802</v>
      </c>
      <c r="BX53" s="2">
        <f t="shared" si="42"/>
        <v>0.19920318725099601</v>
      </c>
      <c r="BY53" s="2">
        <f t="shared" si="43"/>
        <v>1</v>
      </c>
      <c r="BZ53" s="60">
        <f t="shared" ca="1" si="44"/>
        <v>0.75844027670890501</v>
      </c>
      <c r="CA53" s="60">
        <f t="shared" ca="1" si="45"/>
        <v>0.24155972329109496</v>
      </c>
      <c r="CB53" s="52">
        <v>0</v>
      </c>
      <c r="CC53" s="2"/>
      <c r="CD53" s="7"/>
      <c r="CE53" s="7"/>
      <c r="CF53" s="7"/>
      <c r="CG53" s="7">
        <f t="shared" si="46"/>
        <v>10</v>
      </c>
      <c r="CH53" s="9">
        <f t="shared" si="172"/>
        <v>3744.0713053479012</v>
      </c>
      <c r="CI53" s="7">
        <f t="shared" si="71"/>
        <v>0</v>
      </c>
      <c r="CJ53" s="9">
        <f t="shared" si="47"/>
        <v>1275.928694652099</v>
      </c>
      <c r="CK53" s="7">
        <f t="shared" ca="1" si="48"/>
        <v>2409.201277533346</v>
      </c>
      <c r="CL53" s="7">
        <f t="shared" ca="1" si="49"/>
        <v>767.31947369518502</v>
      </c>
      <c r="CM53" s="7">
        <f t="shared" ca="1" si="50"/>
        <v>1843.4792487714694</v>
      </c>
      <c r="CN53" s="7">
        <f t="shared" ca="1" si="51"/>
        <v>3478.1609412414159</v>
      </c>
      <c r="CO53" s="7">
        <f t="shared" ca="1" si="52"/>
        <v>152.85248479983764</v>
      </c>
      <c r="CP53" s="7">
        <f t="shared" ca="1" si="53"/>
        <v>1388.9865739587465</v>
      </c>
      <c r="CQ53" s="7">
        <f t="array" aca="1" ref="CQ53" ca="1">(SUM(IF($AV$5:$BA$5=CQ$5,$AV53:$BA53))*BU53+SUM(IF($AV$5:$BA$5="B",$AV53:$BA53))*BR53)*$Q53</f>
        <v>2738.2547104515224</v>
      </c>
      <c r="CR53" s="7">
        <f t="array" aca="1" ref="CR53" ca="1">(SUM(IF($AV$5:$BA$5=CR$5,$AV53:$BA53))*BV53+SUM(IF($AV$5:$BA$5="B",$AV53:$BA53))*BS53)*$Q53</f>
        <v>186.48003145580194</v>
      </c>
      <c r="CS53" s="7">
        <f t="array" aca="1" ref="CS53" ca="1">(SUM(IF($AV$5:$BA$5=CS$5,$AV53:$BA53))*BW53+SUM(IF($AV$5:$BA$5="B",$AV53:$BA53))*BT53)*$Q53</f>
        <v>2095.2652580926756</v>
      </c>
      <c r="CT53" s="7">
        <f t="array" aca="1" ref="CT53" ca="1">(SUM(IF($BF$5:$BL$5=CT$5,IF($BF$4:$BL$4="B",$BF53:$BL53)))*BU53+SUM(IF($BF$5:$BL$5=CT$5,IF($BF$4:$BL$4=CT$4,$BF53:$BL53)))+SUM(IF($BF$5:$BL$5="B",$BF53:$BL53))*BZ53)*$Q53</f>
        <v>0</v>
      </c>
      <c r="CU53" s="7">
        <f t="array" aca="1" ref="CU53" ca="1">(SUM(IF($BF$5:$BL$5=CU$5,IF($BF$4:$BL$4="B",$BF53:$BL53)))*BV53+SUM(IF($BF$5:$BL$5=CU$5,IF($BF$4:$BL$4=CU$4,$BF53:$BL53)))+SUM(IF($BF$5:$BL$5="B",$BF53:$BL53))*CA53)*$Q53</f>
        <v>0</v>
      </c>
      <c r="CV53" s="7">
        <f t="array" aca="1" ref="CV53" ca="1">(SUM(IF($BF$5:$BL$5=CV$5,IF($BF$4:$BL$4="B",$BF53:$BL53)))*BW53+SUM(IF($BF$5:$BL$5=CV$5,IF($BF$4:$BL$4=CV$4,$BF53:$BL53)))+SUM(IF($BF$5:$BL$5="B",$BF53:$BL53))*CB53)*$Q53</f>
        <v>0</v>
      </c>
      <c r="CW53" s="7"/>
      <c r="CX53" s="9">
        <f t="shared" si="72"/>
        <v>5020</v>
      </c>
      <c r="CY53" s="9">
        <f t="shared" si="173"/>
        <v>-3744.0713053479012</v>
      </c>
      <c r="CZ53" s="9">
        <f t="shared" si="174"/>
        <v>1275.9286946520988</v>
      </c>
      <c r="DA53" s="9">
        <f t="shared" si="75"/>
        <v>0</v>
      </c>
      <c r="DB53" s="9">
        <f t="shared" si="175"/>
        <v>-1275.928694652099</v>
      </c>
      <c r="DC53" s="9">
        <f t="shared" si="176"/>
        <v>-1275.928694652099</v>
      </c>
      <c r="DD53" s="9">
        <f t="shared" si="78"/>
        <v>5020</v>
      </c>
      <c r="DE53" s="9">
        <f t="shared" ca="1" si="54"/>
        <v>-2409.201277533346</v>
      </c>
      <c r="DF53" s="9">
        <f t="shared" ca="1" si="177"/>
        <v>2610.798722466654</v>
      </c>
      <c r="DG53" s="9">
        <f t="shared" si="80"/>
        <v>0</v>
      </c>
      <c r="DH53" s="9">
        <f t="shared" ca="1" si="178"/>
        <v>-2610.7987224666545</v>
      </c>
      <c r="DI53" s="9">
        <f t="shared" ca="1" si="179"/>
        <v>-2610.7987224666545</v>
      </c>
      <c r="DJ53" s="9">
        <f t="shared" si="83"/>
        <v>5020</v>
      </c>
      <c r="DK53" s="9">
        <f t="shared" ca="1" si="55"/>
        <v>-3478.1609412414159</v>
      </c>
      <c r="DL53" s="9">
        <f t="shared" ca="1" si="180"/>
        <v>1541.8390587585841</v>
      </c>
      <c r="DM53" s="9">
        <f t="shared" si="85"/>
        <v>0</v>
      </c>
      <c r="DN53" s="9">
        <f t="shared" ca="1" si="56"/>
        <v>-1541.8390587585841</v>
      </c>
      <c r="DO53" s="9">
        <f t="shared" ca="1" si="181"/>
        <v>-1541.8390587585841</v>
      </c>
      <c r="DP53" s="9">
        <f t="shared" si="87"/>
        <v>5020</v>
      </c>
      <c r="DQ53" s="9">
        <f t="shared" ca="1" si="57"/>
        <v>-2738.2547104515224</v>
      </c>
      <c r="DR53" s="9">
        <f t="shared" ca="1" si="182"/>
        <v>2281.7452895484776</v>
      </c>
      <c r="DS53" s="9">
        <f t="shared" si="89"/>
        <v>0</v>
      </c>
      <c r="DT53" s="9">
        <f t="shared" ca="1" si="58"/>
        <v>-2281.7452895484776</v>
      </c>
      <c r="DU53" s="9">
        <f t="shared" ca="1" si="183"/>
        <v>-2281.7452895484776</v>
      </c>
    </row>
    <row r="54" spans="1:125" ht="14.45" x14ac:dyDescent="0.35">
      <c r="A54" s="16">
        <f t="shared" si="125"/>
        <v>1000</v>
      </c>
      <c r="B54" s="14">
        <f t="shared" si="165"/>
        <v>220</v>
      </c>
      <c r="C54" s="9">
        <f t="shared" si="16"/>
        <v>100</v>
      </c>
      <c r="D54" s="14">
        <f t="shared" si="17"/>
        <v>502</v>
      </c>
      <c r="E54" s="34">
        <f t="shared" si="92"/>
        <v>100</v>
      </c>
      <c r="F54" s="15">
        <f t="shared" si="164"/>
        <v>-102</v>
      </c>
      <c r="G54">
        <f t="shared" si="91"/>
        <v>10</v>
      </c>
      <c r="H54">
        <f t="shared" si="91"/>
        <v>1</v>
      </c>
      <c r="I54" s="5">
        <f>GenUnits!$V$12</f>
        <v>400</v>
      </c>
      <c r="J54" s="5">
        <f>GenUnits!$W$12</f>
        <v>122</v>
      </c>
      <c r="K54" s="14">
        <f t="shared" si="60"/>
        <v>502</v>
      </c>
      <c r="L54" s="14">
        <f t="shared" si="166"/>
        <v>502</v>
      </c>
      <c r="M54" s="14">
        <f t="shared" si="167"/>
        <v>122</v>
      </c>
      <c r="N54" s="34">
        <f>GenUnits!$V$11</f>
        <v>1297</v>
      </c>
      <c r="O54" s="34">
        <f>GenUnits!$W$11</f>
        <v>864</v>
      </c>
      <c r="P54" s="14">
        <f t="shared" si="19"/>
        <v>442</v>
      </c>
      <c r="Q54" s="14">
        <f t="shared" si="20"/>
        <v>1</v>
      </c>
      <c r="S54" s="7">
        <f t="shared" si="63"/>
        <v>502</v>
      </c>
      <c r="T54" s="7">
        <f t="shared" si="21"/>
        <v>0</v>
      </c>
      <c r="U54" s="7">
        <f t="shared" si="168"/>
        <v>502</v>
      </c>
      <c r="V54" s="7">
        <f t="shared" si="22"/>
        <v>5020</v>
      </c>
      <c r="W54" s="7">
        <f t="shared" si="23"/>
        <v>0</v>
      </c>
      <c r="X54" s="7">
        <f t="shared" si="169"/>
        <v>5020</v>
      </c>
      <c r="Y54" s="35"/>
      <c r="Z54" s="35"/>
      <c r="AA54" s="44">
        <f t="shared" si="66"/>
        <v>100</v>
      </c>
      <c r="AB54" s="7">
        <f t="shared" si="24"/>
        <v>380</v>
      </c>
      <c r="AC54" s="15">
        <f t="shared" si="25"/>
        <v>122</v>
      </c>
      <c r="AD54" s="8">
        <v>0</v>
      </c>
      <c r="AE54" s="15">
        <f t="shared" si="26"/>
        <v>0</v>
      </c>
      <c r="AF54" s="7">
        <f t="shared" si="67"/>
        <v>0</v>
      </c>
      <c r="AG54" s="7">
        <f t="shared" si="27"/>
        <v>0</v>
      </c>
      <c r="AH54" s="7">
        <f t="shared" si="170"/>
        <v>502</v>
      </c>
      <c r="AI54" s="7" t="b">
        <f t="shared" si="28"/>
        <v>1</v>
      </c>
      <c r="AJ54" s="7"/>
      <c r="AK54" s="7"/>
      <c r="AL54" s="7"/>
      <c r="AM54" s="7"/>
      <c r="AN54" s="7"/>
      <c r="AO54" s="7"/>
      <c r="AP54" s="7"/>
      <c r="AQ54" s="7"/>
      <c r="AR54" s="7"/>
      <c r="AS54" s="7"/>
      <c r="AT54" s="7"/>
      <c r="AU54" s="7"/>
      <c r="AV54" s="7">
        <f t="shared" si="29"/>
        <v>3800</v>
      </c>
      <c r="AW54" s="7">
        <f t="shared" si="30"/>
        <v>1220</v>
      </c>
      <c r="AX54" s="7">
        <f t="shared" si="31"/>
        <v>0</v>
      </c>
      <c r="AY54" s="30">
        <f t="shared" si="32"/>
        <v>0</v>
      </c>
      <c r="AZ54" s="30">
        <f t="shared" si="33"/>
        <v>0</v>
      </c>
      <c r="BA54" s="30">
        <f t="shared" si="34"/>
        <v>0</v>
      </c>
      <c r="BB54" s="7">
        <f t="shared" si="171"/>
        <v>5020</v>
      </c>
      <c r="BC54" s="7" t="b">
        <f t="shared" si="35"/>
        <v>1</v>
      </c>
      <c r="BD54" s="7"/>
      <c r="BE54" s="7"/>
      <c r="BF54" s="7"/>
      <c r="BG54" s="7"/>
      <c r="BH54" s="7"/>
      <c r="BI54" s="7"/>
      <c r="BJ54" s="7"/>
      <c r="BK54" s="7"/>
      <c r="BL54" s="7"/>
      <c r="BM54" s="7"/>
      <c r="BN54" s="7"/>
      <c r="BO54" s="7"/>
      <c r="BP54" s="7">
        <f>MATCH($A54,GenUnits!$AX$43:$AX$48,1)</f>
        <v>6</v>
      </c>
      <c r="BQ54" s="7"/>
      <c r="BR54" s="2">
        <f t="shared" ca="1" si="36"/>
        <v>0.47992057321381393</v>
      </c>
      <c r="BS54" s="2">
        <f t="shared" ca="1" si="37"/>
        <v>0.15285248479983765</v>
      </c>
      <c r="BT54" s="2">
        <f t="shared" ca="1" si="38"/>
        <v>0.36722694198634848</v>
      </c>
      <c r="BU54" s="59">
        <f t="shared" ca="1" si="39"/>
        <v>0.56651358187649192</v>
      </c>
      <c r="BV54" s="59">
        <f t="shared" ca="1" si="40"/>
        <v>1</v>
      </c>
      <c r="BW54" s="59">
        <f t="shared" ca="1" si="41"/>
        <v>0.43348641812350802</v>
      </c>
      <c r="BX54" s="2">
        <f t="shared" si="42"/>
        <v>0.19920318725099601</v>
      </c>
      <c r="BY54" s="2">
        <f t="shared" si="43"/>
        <v>1</v>
      </c>
      <c r="BZ54" s="60">
        <f t="shared" ca="1" si="44"/>
        <v>0.75844027670890501</v>
      </c>
      <c r="CA54" s="60">
        <f t="shared" ca="1" si="45"/>
        <v>0.24155972329109496</v>
      </c>
      <c r="CB54" s="52">
        <v>0</v>
      </c>
      <c r="CC54" s="2"/>
      <c r="CD54" s="7"/>
      <c r="CE54" s="7"/>
      <c r="CF54" s="7"/>
      <c r="CG54" s="7">
        <f t="shared" si="46"/>
        <v>100</v>
      </c>
      <c r="CH54" s="9">
        <f t="shared" si="172"/>
        <v>3744.0713053479012</v>
      </c>
      <c r="CI54" s="7">
        <f t="shared" si="71"/>
        <v>0</v>
      </c>
      <c r="CJ54" s="9">
        <f t="shared" si="47"/>
        <v>1275.928694652099</v>
      </c>
      <c r="CK54" s="7">
        <f t="shared" ca="1" si="48"/>
        <v>2409.201277533346</v>
      </c>
      <c r="CL54" s="7">
        <f t="shared" ca="1" si="49"/>
        <v>767.31947369518502</v>
      </c>
      <c r="CM54" s="7">
        <f t="shared" ca="1" si="50"/>
        <v>1843.4792487714694</v>
      </c>
      <c r="CN54" s="7">
        <f t="shared" ca="1" si="51"/>
        <v>3478.1609412414159</v>
      </c>
      <c r="CO54" s="7">
        <f t="shared" ca="1" si="52"/>
        <v>152.85248479983764</v>
      </c>
      <c r="CP54" s="7">
        <f t="shared" ca="1" si="53"/>
        <v>1388.9865739587465</v>
      </c>
      <c r="CQ54" s="7">
        <f t="array" aca="1" ref="CQ54" ca="1">(SUM(IF($AV$5:$BA$5=CQ$5,$AV54:$BA54))*BU54+SUM(IF($AV$5:$BA$5="B",$AV54:$BA54))*BR54)*$Q54</f>
        <v>2738.2547104515224</v>
      </c>
      <c r="CR54" s="7">
        <f t="array" aca="1" ref="CR54" ca="1">(SUM(IF($AV$5:$BA$5=CR$5,$AV54:$BA54))*BV54+SUM(IF($AV$5:$BA$5="B",$AV54:$BA54))*BS54)*$Q54</f>
        <v>186.48003145580194</v>
      </c>
      <c r="CS54" s="7">
        <f t="array" aca="1" ref="CS54" ca="1">(SUM(IF($AV$5:$BA$5=CS$5,$AV54:$BA54))*BW54+SUM(IF($AV$5:$BA$5="B",$AV54:$BA54))*BT54)*$Q54</f>
        <v>2095.2652580926756</v>
      </c>
      <c r="CT54" s="7">
        <f t="array" aca="1" ref="CT54" ca="1">(SUM(IF($BF$5:$BL$5=CT$5,IF($BF$4:$BL$4="B",$BF54:$BL54)))*BU54+SUM(IF($BF$5:$BL$5=CT$5,IF($BF$4:$BL$4=CT$4,$BF54:$BL54)))+SUM(IF($BF$5:$BL$5="B",$BF54:$BL54))*BZ54)*$Q54</f>
        <v>0</v>
      </c>
      <c r="CU54" s="7">
        <f t="array" aca="1" ref="CU54" ca="1">(SUM(IF($BF$5:$BL$5=CU$5,IF($BF$4:$BL$4="B",$BF54:$BL54)))*BV54+SUM(IF($BF$5:$BL$5=CU$5,IF($BF$4:$BL$4=CU$4,$BF54:$BL54)))+SUM(IF($BF$5:$BL$5="B",$BF54:$BL54))*CA54)*$Q54</f>
        <v>0</v>
      </c>
      <c r="CV54" s="7">
        <f t="array" aca="1" ref="CV54" ca="1">(SUM(IF($BF$5:$BL$5=CV$5,IF($BF$4:$BL$4="B",$BF54:$BL54)))*BW54+SUM(IF($BF$5:$BL$5=CV$5,IF($BF$4:$BL$4=CV$4,$BF54:$BL54)))+SUM(IF($BF$5:$BL$5="B",$BF54:$BL54))*CB54)*$Q54</f>
        <v>0</v>
      </c>
      <c r="CW54" s="7"/>
      <c r="CX54" s="9">
        <f t="shared" si="72"/>
        <v>5020</v>
      </c>
      <c r="CY54" s="9">
        <f t="shared" si="173"/>
        <v>-3744.0713053479012</v>
      </c>
      <c r="CZ54" s="9">
        <f t="shared" si="174"/>
        <v>1275.9286946520988</v>
      </c>
      <c r="DA54" s="9">
        <f t="shared" si="75"/>
        <v>0</v>
      </c>
      <c r="DB54" s="9">
        <f t="shared" si="175"/>
        <v>-1275.928694652099</v>
      </c>
      <c r="DC54" s="9">
        <f t="shared" si="176"/>
        <v>-1275.928694652099</v>
      </c>
      <c r="DD54" s="9">
        <f t="shared" si="78"/>
        <v>5020</v>
      </c>
      <c r="DE54" s="9">
        <f t="shared" ca="1" si="54"/>
        <v>-2409.201277533346</v>
      </c>
      <c r="DF54" s="9">
        <f t="shared" ca="1" si="177"/>
        <v>2610.798722466654</v>
      </c>
      <c r="DG54" s="9">
        <f t="shared" si="80"/>
        <v>0</v>
      </c>
      <c r="DH54" s="9">
        <f t="shared" ca="1" si="178"/>
        <v>-2610.7987224666545</v>
      </c>
      <c r="DI54" s="9">
        <f t="shared" ca="1" si="179"/>
        <v>-2610.7987224666545</v>
      </c>
      <c r="DJ54" s="9">
        <f t="shared" si="83"/>
        <v>5020</v>
      </c>
      <c r="DK54" s="9">
        <f t="shared" ca="1" si="55"/>
        <v>-3478.1609412414159</v>
      </c>
      <c r="DL54" s="9">
        <f t="shared" ca="1" si="180"/>
        <v>1541.8390587585841</v>
      </c>
      <c r="DM54" s="9">
        <f t="shared" si="85"/>
        <v>0</v>
      </c>
      <c r="DN54" s="9">
        <f t="shared" ca="1" si="56"/>
        <v>-1541.8390587585841</v>
      </c>
      <c r="DO54" s="9">
        <f t="shared" ca="1" si="181"/>
        <v>-1541.8390587585841</v>
      </c>
      <c r="DP54" s="9">
        <f t="shared" si="87"/>
        <v>5020</v>
      </c>
      <c r="DQ54" s="9">
        <f t="shared" ca="1" si="57"/>
        <v>-2738.2547104515224</v>
      </c>
      <c r="DR54" s="9">
        <f t="shared" ca="1" si="182"/>
        <v>2281.7452895484776</v>
      </c>
      <c r="DS54" s="9">
        <f t="shared" si="89"/>
        <v>0</v>
      </c>
      <c r="DT54" s="9">
        <f t="shared" ca="1" si="58"/>
        <v>-2281.7452895484776</v>
      </c>
      <c r="DU54" s="9">
        <f t="shared" ca="1" si="183"/>
        <v>-2281.7452895484776</v>
      </c>
    </row>
    <row r="55" spans="1:125" ht="14.45" x14ac:dyDescent="0.35">
      <c r="A55" s="16">
        <f t="shared" si="125"/>
        <v>1000</v>
      </c>
      <c r="B55" s="14">
        <f t="shared" si="165"/>
        <v>220</v>
      </c>
      <c r="C55" s="9">
        <f t="shared" si="16"/>
        <v>100</v>
      </c>
      <c r="D55" s="14">
        <f t="shared" si="17"/>
        <v>502</v>
      </c>
      <c r="E55" s="34">
        <f t="shared" si="92"/>
        <v>220</v>
      </c>
      <c r="F55" s="15">
        <f t="shared" si="164"/>
        <v>-102</v>
      </c>
      <c r="G55">
        <f t="shared" si="91"/>
        <v>10</v>
      </c>
      <c r="H55">
        <f t="shared" si="91"/>
        <v>1</v>
      </c>
      <c r="I55" s="5">
        <f>GenUnits!$V$12</f>
        <v>400</v>
      </c>
      <c r="J55" s="5">
        <f>GenUnits!$W$12</f>
        <v>122</v>
      </c>
      <c r="K55" s="14">
        <f t="shared" si="60"/>
        <v>502</v>
      </c>
      <c r="L55" s="14">
        <f t="shared" si="166"/>
        <v>502</v>
      </c>
      <c r="M55" s="14">
        <f t="shared" si="167"/>
        <v>122</v>
      </c>
      <c r="N55" s="34">
        <f>GenUnits!$V$11</f>
        <v>1297</v>
      </c>
      <c r="O55" s="34">
        <f>GenUnits!$W$11</f>
        <v>864</v>
      </c>
      <c r="P55" s="14">
        <f t="shared" si="19"/>
        <v>442</v>
      </c>
      <c r="Q55" s="14">
        <f t="shared" si="20"/>
        <v>1</v>
      </c>
      <c r="S55" s="7">
        <f t="shared" si="63"/>
        <v>502</v>
      </c>
      <c r="T55" s="7">
        <f t="shared" si="21"/>
        <v>0</v>
      </c>
      <c r="U55" s="7">
        <f t="shared" si="168"/>
        <v>502</v>
      </c>
      <c r="V55" s="7">
        <f t="shared" si="22"/>
        <v>5020</v>
      </c>
      <c r="W55" s="7">
        <f t="shared" si="23"/>
        <v>0</v>
      </c>
      <c r="X55" s="7">
        <f t="shared" si="169"/>
        <v>5020</v>
      </c>
      <c r="Y55" s="35"/>
      <c r="Z55" s="35"/>
      <c r="AA55" s="44">
        <f t="shared" si="66"/>
        <v>220</v>
      </c>
      <c r="AB55" s="7">
        <f t="shared" si="24"/>
        <v>380</v>
      </c>
      <c r="AC55" s="15">
        <f t="shared" si="25"/>
        <v>122</v>
      </c>
      <c r="AD55" s="8">
        <v>0</v>
      </c>
      <c r="AE55" s="15">
        <f t="shared" si="26"/>
        <v>0</v>
      </c>
      <c r="AF55" s="7">
        <f t="shared" si="67"/>
        <v>0</v>
      </c>
      <c r="AG55" s="7">
        <f t="shared" si="27"/>
        <v>0</v>
      </c>
      <c r="AH55" s="7">
        <f t="shared" si="170"/>
        <v>502</v>
      </c>
      <c r="AI55" s="7" t="b">
        <f t="shared" si="28"/>
        <v>1</v>
      </c>
      <c r="AJ55" s="7"/>
      <c r="AK55" s="7"/>
      <c r="AL55" s="7"/>
      <c r="AM55" s="7"/>
      <c r="AN55" s="7"/>
      <c r="AO55" s="7"/>
      <c r="AP55" s="7"/>
      <c r="AQ55" s="7"/>
      <c r="AR55" s="7"/>
      <c r="AS55" s="7"/>
      <c r="AT55" s="7"/>
      <c r="AU55" s="7"/>
      <c r="AV55" s="7">
        <f t="shared" si="29"/>
        <v>3800</v>
      </c>
      <c r="AW55" s="7">
        <f t="shared" si="30"/>
        <v>1220</v>
      </c>
      <c r="AX55" s="7">
        <f t="shared" si="31"/>
        <v>0</v>
      </c>
      <c r="AY55" s="30">
        <f t="shared" si="32"/>
        <v>0</v>
      </c>
      <c r="AZ55" s="30">
        <f t="shared" si="33"/>
        <v>0</v>
      </c>
      <c r="BA55" s="30">
        <f t="shared" si="34"/>
        <v>0</v>
      </c>
      <c r="BB55" s="7">
        <f t="shared" si="171"/>
        <v>5020</v>
      </c>
      <c r="BC55" s="7" t="b">
        <f t="shared" si="35"/>
        <v>1</v>
      </c>
      <c r="BD55" s="7"/>
      <c r="BE55" s="7"/>
      <c r="BF55" s="7"/>
      <c r="BG55" s="7"/>
      <c r="BH55" s="7"/>
      <c r="BI55" s="7"/>
      <c r="BJ55" s="7"/>
      <c r="BK55" s="7"/>
      <c r="BL55" s="7"/>
      <c r="BM55" s="7"/>
      <c r="BN55" s="7"/>
      <c r="BO55" s="7"/>
      <c r="BP55" s="7">
        <f>MATCH($A55,GenUnits!$AX$43:$AX$48,1)</f>
        <v>6</v>
      </c>
      <c r="BQ55" s="7"/>
      <c r="BR55" s="2">
        <f t="shared" ca="1" si="36"/>
        <v>0.47992057321381393</v>
      </c>
      <c r="BS55" s="2">
        <f t="shared" ca="1" si="37"/>
        <v>0.15285248479983765</v>
      </c>
      <c r="BT55" s="2">
        <f t="shared" ca="1" si="38"/>
        <v>0.36722694198634848</v>
      </c>
      <c r="BU55" s="59">
        <f t="shared" ca="1" si="39"/>
        <v>0.56651358187649192</v>
      </c>
      <c r="BV55" s="59">
        <f t="shared" ca="1" si="40"/>
        <v>1</v>
      </c>
      <c r="BW55" s="59">
        <f t="shared" ca="1" si="41"/>
        <v>0.43348641812350802</v>
      </c>
      <c r="BX55" s="2">
        <f t="shared" si="42"/>
        <v>0.19920318725099601</v>
      </c>
      <c r="BY55" s="2">
        <f t="shared" si="43"/>
        <v>1</v>
      </c>
      <c r="BZ55" s="60">
        <f t="shared" ca="1" si="44"/>
        <v>0.75844027670890501</v>
      </c>
      <c r="CA55" s="60">
        <f t="shared" ca="1" si="45"/>
        <v>0.24155972329109496</v>
      </c>
      <c r="CB55" s="52">
        <v>0</v>
      </c>
      <c r="CC55" s="2"/>
      <c r="CD55" s="7"/>
      <c r="CE55" s="7"/>
      <c r="CF55" s="7"/>
      <c r="CG55" s="7">
        <f t="shared" si="46"/>
        <v>220</v>
      </c>
      <c r="CH55" s="9">
        <f t="shared" si="172"/>
        <v>3744.0713053479012</v>
      </c>
      <c r="CI55" s="7">
        <f t="shared" si="71"/>
        <v>0</v>
      </c>
      <c r="CJ55" s="9">
        <f t="shared" si="47"/>
        <v>1275.928694652099</v>
      </c>
      <c r="CK55" s="7">
        <f t="shared" ca="1" si="48"/>
        <v>2409.201277533346</v>
      </c>
      <c r="CL55" s="7">
        <f t="shared" ca="1" si="49"/>
        <v>767.31947369518502</v>
      </c>
      <c r="CM55" s="7">
        <f t="shared" ca="1" si="50"/>
        <v>1843.4792487714694</v>
      </c>
      <c r="CN55" s="7">
        <f t="shared" ca="1" si="51"/>
        <v>3478.1609412414159</v>
      </c>
      <c r="CO55" s="7">
        <f t="shared" ca="1" si="52"/>
        <v>152.85248479983764</v>
      </c>
      <c r="CP55" s="7">
        <f t="shared" ca="1" si="53"/>
        <v>1388.9865739587465</v>
      </c>
      <c r="CQ55" s="7">
        <f t="array" aca="1" ref="CQ55" ca="1">(SUM(IF($AV$5:$BA$5=CQ$5,$AV55:$BA55))*BU55+SUM(IF($AV$5:$BA$5="B",$AV55:$BA55))*BR55)*$Q55</f>
        <v>2738.2547104515224</v>
      </c>
      <c r="CR55" s="7">
        <f t="array" aca="1" ref="CR55" ca="1">(SUM(IF($AV$5:$BA$5=CR$5,$AV55:$BA55))*BV55+SUM(IF($AV$5:$BA$5="B",$AV55:$BA55))*BS55)*$Q55</f>
        <v>186.48003145580194</v>
      </c>
      <c r="CS55" s="7">
        <f t="array" aca="1" ref="CS55" ca="1">(SUM(IF($AV$5:$BA$5=CS$5,$AV55:$BA55))*BW55+SUM(IF($AV$5:$BA$5="B",$AV55:$BA55))*BT55)*$Q55</f>
        <v>2095.2652580926756</v>
      </c>
      <c r="CT55" s="7">
        <f t="array" aca="1" ref="CT55" ca="1">(SUM(IF($BF$5:$BL$5=CT$5,IF($BF$4:$BL$4="B",$BF55:$BL55)))*BU55+SUM(IF($BF$5:$BL$5=CT$5,IF($BF$4:$BL$4=CT$4,$BF55:$BL55)))+SUM(IF($BF$5:$BL$5="B",$BF55:$BL55))*BZ55)*$Q55</f>
        <v>0</v>
      </c>
      <c r="CU55" s="7">
        <f t="array" aca="1" ref="CU55" ca="1">(SUM(IF($BF$5:$BL$5=CU$5,IF($BF$4:$BL$4="B",$BF55:$BL55)))*BV55+SUM(IF($BF$5:$BL$5=CU$5,IF($BF$4:$BL$4=CU$4,$BF55:$BL55)))+SUM(IF($BF$5:$BL$5="B",$BF55:$BL55))*CA55)*$Q55</f>
        <v>0</v>
      </c>
      <c r="CV55" s="7">
        <f t="array" aca="1" ref="CV55" ca="1">(SUM(IF($BF$5:$BL$5=CV$5,IF($BF$4:$BL$4="B",$BF55:$BL55)))*BW55+SUM(IF($BF$5:$BL$5=CV$5,IF($BF$4:$BL$4=CV$4,$BF55:$BL55)))+SUM(IF($BF$5:$BL$5="B",$BF55:$BL55))*CB55)*$Q55</f>
        <v>0</v>
      </c>
      <c r="CW55" s="7"/>
      <c r="CX55" s="9">
        <f t="shared" si="72"/>
        <v>5020</v>
      </c>
      <c r="CY55" s="9">
        <f t="shared" si="173"/>
        <v>-3744.0713053479012</v>
      </c>
      <c r="CZ55" s="9">
        <f t="shared" si="174"/>
        <v>1275.9286946520988</v>
      </c>
      <c r="DA55" s="9">
        <f t="shared" si="75"/>
        <v>0</v>
      </c>
      <c r="DB55" s="9">
        <f t="shared" si="175"/>
        <v>-1275.928694652099</v>
      </c>
      <c r="DC55" s="9">
        <f t="shared" si="176"/>
        <v>-1275.928694652099</v>
      </c>
      <c r="DD55" s="9">
        <f t="shared" si="78"/>
        <v>5020</v>
      </c>
      <c r="DE55" s="9">
        <f t="shared" ca="1" si="54"/>
        <v>-2409.201277533346</v>
      </c>
      <c r="DF55" s="9">
        <f t="shared" ca="1" si="177"/>
        <v>2610.798722466654</v>
      </c>
      <c r="DG55" s="9">
        <f t="shared" si="80"/>
        <v>0</v>
      </c>
      <c r="DH55" s="9">
        <f t="shared" ca="1" si="178"/>
        <v>-2610.7987224666545</v>
      </c>
      <c r="DI55" s="9">
        <f t="shared" ca="1" si="179"/>
        <v>-2610.7987224666545</v>
      </c>
      <c r="DJ55" s="9">
        <f t="shared" si="83"/>
        <v>5020</v>
      </c>
      <c r="DK55" s="9">
        <f t="shared" ca="1" si="55"/>
        <v>-3478.1609412414159</v>
      </c>
      <c r="DL55" s="9">
        <f t="shared" ca="1" si="180"/>
        <v>1541.8390587585841</v>
      </c>
      <c r="DM55" s="9">
        <f t="shared" si="85"/>
        <v>0</v>
      </c>
      <c r="DN55" s="9">
        <f t="shared" ca="1" si="56"/>
        <v>-1541.8390587585841</v>
      </c>
      <c r="DO55" s="9">
        <f t="shared" ca="1" si="181"/>
        <v>-1541.8390587585841</v>
      </c>
      <c r="DP55" s="9">
        <f t="shared" si="87"/>
        <v>5020</v>
      </c>
      <c r="DQ55" s="9">
        <f t="shared" ca="1" si="57"/>
        <v>-2738.2547104515224</v>
      </c>
      <c r="DR55" s="9">
        <f t="shared" ca="1" si="182"/>
        <v>2281.7452895484776</v>
      </c>
      <c r="DS55" s="9">
        <f t="shared" si="89"/>
        <v>0</v>
      </c>
      <c r="DT55" s="9">
        <f t="shared" ca="1" si="58"/>
        <v>-2281.7452895484776</v>
      </c>
      <c r="DU55" s="9">
        <f t="shared" ca="1" si="183"/>
        <v>-2281.7452895484776</v>
      </c>
    </row>
    <row r="56" spans="1:125" ht="14.45" x14ac:dyDescent="0.35">
      <c r="E56" s="8"/>
      <c r="F56" s="15"/>
      <c r="S56" s="40"/>
      <c r="T56" s="40"/>
      <c r="U56" s="40"/>
      <c r="V56" s="40"/>
      <c r="W56" s="40"/>
      <c r="X56" s="40"/>
      <c r="Y56" s="40"/>
      <c r="Z56" s="40"/>
      <c r="AA56" s="41"/>
      <c r="AB56" s="40"/>
      <c r="AC56" s="42"/>
      <c r="AD56" s="43"/>
      <c r="AE56" s="42"/>
      <c r="AF56" s="40"/>
      <c r="AG56" s="40"/>
      <c r="AH56" s="40"/>
      <c r="AI56" s="40"/>
      <c r="AJ56" s="40"/>
      <c r="AK56" s="40"/>
      <c r="AL56" s="40"/>
      <c r="AM56" s="40"/>
      <c r="AN56" s="40"/>
      <c r="AO56" s="40"/>
      <c r="AP56" s="40"/>
      <c r="AQ56" s="40"/>
      <c r="AR56" s="40"/>
      <c r="AS56" s="40"/>
      <c r="AT56" s="40"/>
      <c r="AU56" s="40"/>
      <c r="AV56" s="7"/>
      <c r="AW56" s="7"/>
      <c r="AX56" s="7"/>
      <c r="AY56" s="30"/>
      <c r="AZ56" s="30"/>
      <c r="BA56" s="30"/>
      <c r="BB56" s="7"/>
      <c r="BC56" s="7"/>
      <c r="BD56" s="7"/>
      <c r="BE56" s="7"/>
      <c r="BF56" s="7"/>
      <c r="BG56" s="7"/>
      <c r="BH56" s="7"/>
      <c r="BI56" s="7"/>
      <c r="BJ56" s="7"/>
      <c r="BK56" s="7"/>
      <c r="BL56" s="7"/>
      <c r="BM56" s="7"/>
      <c r="BN56" s="7"/>
      <c r="BO56" s="7"/>
      <c r="BP56" s="7"/>
      <c r="BQ56" s="7"/>
      <c r="BR56" s="2"/>
      <c r="BS56" s="2"/>
      <c r="BT56" s="2"/>
      <c r="BU56" s="2"/>
      <c r="BV56" s="6"/>
      <c r="BW56" s="2"/>
      <c r="BX56" s="2"/>
      <c r="BY56" s="2"/>
      <c r="BZ56" s="2"/>
      <c r="CA56" s="2"/>
      <c r="CB56" s="2"/>
      <c r="CC56" s="2"/>
      <c r="CD56" s="7"/>
      <c r="CE56" s="7"/>
      <c r="CF56" s="7"/>
      <c r="CG56" s="7"/>
      <c r="CH56" s="9"/>
      <c r="CI56" s="7"/>
      <c r="CJ56" s="9"/>
      <c r="CK56" s="7"/>
      <c r="CL56" s="7"/>
      <c r="CM56" s="7"/>
      <c r="CN56" s="7"/>
      <c r="CO56" s="7"/>
      <c r="CP56" s="7"/>
      <c r="CQ56" s="7"/>
      <c r="CR56" s="7"/>
      <c r="CS56" s="7"/>
      <c r="CT56" s="7"/>
      <c r="CU56" s="7"/>
      <c r="CV56" s="7"/>
      <c r="CW56" s="7"/>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1:125" ht="14.45" x14ac:dyDescent="0.35">
      <c r="A57" s="4" t="s">
        <v>202</v>
      </c>
      <c r="E57" s="8"/>
      <c r="F57" s="15"/>
      <c r="S57" s="40"/>
      <c r="T57" s="40"/>
      <c r="U57" s="40"/>
      <c r="V57" s="40"/>
      <c r="W57" s="40"/>
      <c r="X57" s="40"/>
      <c r="Y57" s="40"/>
      <c r="Z57" s="40"/>
      <c r="AA57" s="41"/>
      <c r="AB57" s="40"/>
      <c r="AC57" s="42"/>
      <c r="AD57" s="43"/>
      <c r="AE57" s="42"/>
      <c r="AF57" s="40"/>
      <c r="AG57" s="40"/>
      <c r="AH57" s="40"/>
      <c r="AI57" s="40"/>
      <c r="AJ57" s="40"/>
      <c r="AK57" s="40"/>
      <c r="AL57" s="40"/>
      <c r="AM57" s="40"/>
      <c r="AN57" s="40"/>
      <c r="AO57" s="40"/>
      <c r="AP57" s="40"/>
      <c r="AQ57" s="40"/>
      <c r="AR57" s="40"/>
      <c r="AS57" s="40"/>
      <c r="AT57" s="40"/>
      <c r="AU57" s="40"/>
      <c r="AV57" s="7"/>
      <c r="AW57" s="7"/>
      <c r="AX57" s="7"/>
      <c r="AY57" s="30"/>
      <c r="AZ57" s="30"/>
      <c r="BA57" s="30"/>
      <c r="BB57" s="7"/>
      <c r="BC57" s="7"/>
      <c r="BD57" s="7"/>
      <c r="BE57" s="7"/>
      <c r="BF57" s="7"/>
      <c r="BG57" s="7"/>
      <c r="BH57" s="7"/>
      <c r="BI57" s="7"/>
      <c r="BJ57" s="7"/>
      <c r="BK57" s="7"/>
      <c r="BL57" s="7"/>
      <c r="BM57" s="7"/>
      <c r="BN57" s="7"/>
      <c r="BO57" s="7"/>
      <c r="BP57" s="7"/>
      <c r="BQ57" s="7"/>
      <c r="BR57" s="2"/>
      <c r="BS57" s="2"/>
      <c r="BT57" s="2"/>
      <c r="BU57" s="2"/>
      <c r="BV57" s="6"/>
      <c r="BW57" s="2"/>
      <c r="BX57" s="2"/>
      <c r="BY57" s="2"/>
      <c r="BZ57" s="2"/>
      <c r="CA57" s="2"/>
      <c r="CB57" s="2"/>
      <c r="CC57" s="2"/>
      <c r="CD57" s="7"/>
      <c r="CE57" s="7"/>
      <c r="CF57" s="7"/>
      <c r="CG57" s="7"/>
      <c r="CH57" s="9"/>
      <c r="CI57" s="7"/>
      <c r="CJ57" s="9"/>
      <c r="CK57" s="7"/>
      <c r="CL57" s="7"/>
      <c r="CM57" s="7"/>
      <c r="CN57" s="7"/>
      <c r="CO57" s="7"/>
      <c r="CP57" s="7"/>
      <c r="CQ57" s="7"/>
      <c r="CR57" s="7"/>
      <c r="CS57" s="7"/>
      <c r="CT57" s="7"/>
      <c r="CU57" s="7"/>
      <c r="CV57" s="7"/>
      <c r="CW57" s="7"/>
      <c r="CX57" s="9"/>
      <c r="CY57" s="9"/>
      <c r="CZ57" s="9"/>
      <c r="DA57" s="9"/>
      <c r="DB57" s="9"/>
      <c r="DC57" s="9"/>
      <c r="DD57" s="9"/>
      <c r="DE57" s="9"/>
      <c r="DF57" s="9"/>
      <c r="DG57" s="9"/>
      <c r="DH57" s="9"/>
      <c r="DI57" s="9"/>
      <c r="DJ57" s="9"/>
      <c r="DK57" s="9"/>
      <c r="DL57" s="9"/>
      <c r="DM57" s="9"/>
      <c r="DN57" s="9"/>
      <c r="DO57" s="9"/>
      <c r="DP57" s="9"/>
      <c r="DQ57" s="9"/>
      <c r="DR57" s="9"/>
      <c r="DS57" s="9"/>
      <c r="DT57" s="9"/>
      <c r="DU57" s="9"/>
    </row>
    <row r="58" spans="1:125" ht="14.45" x14ac:dyDescent="0.35">
      <c r="E58" s="8"/>
      <c r="F58" s="15"/>
      <c r="S58" s="40"/>
      <c r="T58" s="40"/>
      <c r="U58" s="40"/>
      <c r="V58" s="40"/>
      <c r="W58" s="40"/>
      <c r="X58" s="40"/>
      <c r="Y58" s="40"/>
      <c r="Z58" s="40"/>
      <c r="AA58" s="41"/>
      <c r="AB58" s="40" t="str">
        <f>AB$7</f>
        <v>NI_IR 4 NI_Risk</v>
      </c>
      <c r="AC58" s="40" t="str">
        <f t="shared" ref="AC58:AG58" si="184">AC$7</f>
        <v>NI_IR 4 shared_risk</v>
      </c>
      <c r="AD58" s="40" t="str">
        <f t="shared" si="184"/>
        <v>NI_IR 4 SI_Risk</v>
      </c>
      <c r="AE58" s="40" t="str">
        <f t="shared" si="184"/>
        <v>SI_IR 4 NI_Risk</v>
      </c>
      <c r="AF58" s="40" t="str">
        <f t="shared" si="184"/>
        <v>SI_IR 4 shared_risk</v>
      </c>
      <c r="AG58" s="40" t="str">
        <f t="shared" si="184"/>
        <v>SI_IR 4 SI_Risk</v>
      </c>
      <c r="AH58" s="40"/>
      <c r="AI58" s="40"/>
      <c r="AJ58" s="40"/>
      <c r="AK58" s="40"/>
      <c r="AL58" s="40"/>
      <c r="AM58" s="40"/>
      <c r="AN58" s="40"/>
      <c r="AO58" s="40"/>
      <c r="AP58" s="40"/>
      <c r="AQ58" s="40"/>
      <c r="AR58" s="40"/>
      <c r="AS58" s="40"/>
      <c r="AT58" s="40"/>
      <c r="AU58" s="40"/>
      <c r="AV58" s="40" t="str">
        <f>AV$7</f>
        <v>NI_IR 4 NI_Risk</v>
      </c>
      <c r="AW58" s="40" t="str">
        <f t="shared" ref="AW58:BB58" si="185">AW$7</f>
        <v>NI_IR 4 shared_risk</v>
      </c>
      <c r="AX58" s="40" t="str">
        <f t="shared" si="185"/>
        <v>NI_IR 4 SI_Risk</v>
      </c>
      <c r="AY58" s="40" t="str">
        <f t="shared" si="185"/>
        <v>SI_IR 4 NI_Risk</v>
      </c>
      <c r="AZ58" s="40" t="str">
        <f t="shared" si="185"/>
        <v>SI_IR 4 shared_risk</v>
      </c>
      <c r="BA58" s="40" t="str">
        <f t="shared" si="185"/>
        <v>SI_IR 4 SI_Risk</v>
      </c>
      <c r="BB58" s="40" t="str">
        <f t="shared" si="185"/>
        <v>Tot</v>
      </c>
      <c r="BC58" s="7"/>
      <c r="BD58" s="7"/>
      <c r="BE58" s="7"/>
      <c r="BF58" s="7"/>
      <c r="BG58" s="7"/>
      <c r="BH58" s="7"/>
      <c r="BI58" s="7"/>
      <c r="BJ58" s="7"/>
      <c r="BK58" s="7"/>
      <c r="BL58" s="7"/>
      <c r="BM58" s="7"/>
      <c r="BN58" s="7"/>
      <c r="BO58" s="7"/>
      <c r="BP58" s="7"/>
      <c r="BQ58" s="7"/>
      <c r="BR58" s="2"/>
      <c r="BS58" s="2"/>
      <c r="BT58" s="2"/>
      <c r="BU58" s="2"/>
      <c r="BV58" s="6"/>
      <c r="BW58" s="2"/>
      <c r="BX58" s="2"/>
      <c r="BY58" s="2"/>
      <c r="BZ58" s="2"/>
      <c r="CA58" s="2"/>
      <c r="CB58" s="2"/>
      <c r="CC58" s="2"/>
      <c r="CD58" s="7"/>
      <c r="CE58" s="7"/>
      <c r="CF58" s="7"/>
      <c r="CG58" s="7" t="s">
        <v>208</v>
      </c>
      <c r="CH58" s="9"/>
      <c r="CI58" s="7"/>
      <c r="CJ58" s="9"/>
      <c r="CK58" s="7"/>
      <c r="CL58" s="7"/>
      <c r="CM58" s="7"/>
      <c r="CN58" s="7"/>
      <c r="CO58" s="7"/>
      <c r="CP58" s="7"/>
      <c r="CQ58" s="7"/>
      <c r="CR58" s="7"/>
      <c r="CS58" s="7"/>
      <c r="CT58" s="7"/>
      <c r="CU58" s="7"/>
      <c r="CV58" s="7"/>
      <c r="CW58" s="7"/>
      <c r="CX58" s="9"/>
      <c r="CY58" s="9"/>
      <c r="CZ58" s="9"/>
      <c r="DA58" s="9"/>
      <c r="DB58" s="9"/>
      <c r="DC58" s="9"/>
      <c r="DD58" s="9"/>
      <c r="DE58" s="9"/>
      <c r="DF58" s="9"/>
      <c r="DG58" s="9"/>
      <c r="DH58" s="9"/>
      <c r="DI58" s="9"/>
      <c r="DJ58" s="9"/>
      <c r="DK58" s="9"/>
      <c r="DL58" s="9"/>
      <c r="DM58" s="9"/>
      <c r="DN58" s="9"/>
      <c r="DO58" s="9"/>
      <c r="DP58" s="9"/>
      <c r="DQ58" s="9"/>
      <c r="DR58" s="9"/>
      <c r="DS58" s="9"/>
      <c r="DT58" s="9"/>
      <c r="DU58" s="9"/>
    </row>
    <row r="59" spans="1:125" ht="14.45" x14ac:dyDescent="0.35">
      <c r="A59" s="1">
        <v>600</v>
      </c>
      <c r="B59" s="1">
        <v>0</v>
      </c>
      <c r="C59" s="9">
        <f>MIN(B59,$C$3-A59-ModulationRisk)</f>
        <v>0</v>
      </c>
      <c r="D59" s="14">
        <f>MAX(0,A59-Pole2_limit+ModulationRisk)</f>
        <v>102</v>
      </c>
      <c r="E59" s="55">
        <f>$C$1</f>
        <v>220</v>
      </c>
      <c r="F59" s="15">
        <f t="shared" ref="F59" si="186">MIN(E59,MAX(-$B59,I59-K59),$C59)</f>
        <v>0</v>
      </c>
      <c r="G59" s="1">
        <v>10</v>
      </c>
      <c r="H59" s="1">
        <v>1</v>
      </c>
      <c r="I59" s="5">
        <f>GenUnits!$V$12</f>
        <v>400</v>
      </c>
      <c r="J59" s="5">
        <f>GenUnits!$W$12</f>
        <v>122</v>
      </c>
      <c r="K59" s="14">
        <f t="shared" si="60"/>
        <v>102</v>
      </c>
      <c r="L59" s="14">
        <f t="shared" ref="L59" si="187">MAX(I59,K59)</f>
        <v>400</v>
      </c>
      <c r="M59" s="14">
        <f t="shared" ref="M59" si="188">J59</f>
        <v>122</v>
      </c>
      <c r="N59" s="34">
        <f>GenUnits!$V$11</f>
        <v>1297</v>
      </c>
      <c r="O59" s="34">
        <f>GenUnits!$W$11</f>
        <v>864</v>
      </c>
      <c r="P59" s="14">
        <f>MAX(0,K59-DeMinimis)</f>
        <v>42</v>
      </c>
      <c r="Q59" s="14">
        <f t="shared" ref="Q59:Q63" si="189">IF(AND($H59&gt;=$G59,$F59&lt;=0,$E59&gt;0),0,1)</f>
        <v>1</v>
      </c>
      <c r="S59" s="7">
        <f t="shared" si="63"/>
        <v>400</v>
      </c>
      <c r="T59" s="7">
        <f>IF(F59&lt;0,MAX(0,M59-MIN($B59,S59)),MAX($M59-$C59,L59-S59))</f>
        <v>122</v>
      </c>
      <c r="U59" s="7">
        <f t="shared" ref="U59" si="190">SUM(S59:T59)</f>
        <v>522</v>
      </c>
      <c r="V59" s="7">
        <f>$S59*$G59</f>
        <v>4000</v>
      </c>
      <c r="W59" s="7">
        <f>$T59*$H59</f>
        <v>122</v>
      </c>
      <c r="X59" s="7">
        <f t="shared" ref="X59" si="191">SUM(V59:W59)</f>
        <v>4122</v>
      </c>
      <c r="Y59" s="7"/>
      <c r="Z59" s="7"/>
      <c r="AA59" s="45" t="str">
        <f t="shared" ref="AA59:AA63" si="192">$C59&amp;" MW"</f>
        <v>0 MW</v>
      </c>
      <c r="AB59" s="7">
        <f>$S59-SUM(AC59:AD59)</f>
        <v>400</v>
      </c>
      <c r="AC59" s="15">
        <f>MAX(0,MIN(B59,J59-T59))</f>
        <v>0</v>
      </c>
      <c r="AD59" s="8">
        <v>0</v>
      </c>
      <c r="AE59" s="15">
        <f>MAX(0,T59-J59)</f>
        <v>0</v>
      </c>
      <c r="AF59" s="7">
        <f>$T59-SUM(AE59,AG59)</f>
        <v>0</v>
      </c>
      <c r="AG59" s="7">
        <f>$T59-($L59-$S59)</f>
        <v>122</v>
      </c>
      <c r="AH59" s="7">
        <f t="shared" ref="AH59" si="193">SUM(AB59:AG59)</f>
        <v>522</v>
      </c>
      <c r="AI59" s="7" t="b">
        <f t="shared" ref="AI59:AI63" si="194">$U59=AH59</f>
        <v>1</v>
      </c>
      <c r="AJ59" s="7"/>
      <c r="AK59" s="7"/>
      <c r="AL59" s="53" t="s">
        <v>232</v>
      </c>
      <c r="AM59" s="7"/>
      <c r="AN59" s="7"/>
      <c r="AO59" s="7"/>
      <c r="AP59" s="7"/>
      <c r="AQ59" s="7"/>
      <c r="AR59" s="7"/>
      <c r="AS59" s="7"/>
      <c r="AT59" s="7"/>
      <c r="AU59" s="7"/>
      <c r="AV59" s="7">
        <f t="shared" ref="AV59:AX63" si="195">AB59*$G59</f>
        <v>4000</v>
      </c>
      <c r="AW59" s="7">
        <f t="shared" si="195"/>
        <v>0</v>
      </c>
      <c r="AX59" s="7">
        <f t="shared" si="195"/>
        <v>0</v>
      </c>
      <c r="AY59" s="30">
        <f t="shared" ref="AY59:BA63" si="196">AE59*$H59</f>
        <v>0</v>
      </c>
      <c r="AZ59" s="30">
        <f t="shared" si="196"/>
        <v>0</v>
      </c>
      <c r="BA59" s="30">
        <f t="shared" si="196"/>
        <v>122</v>
      </c>
      <c r="BB59" s="7">
        <f t="shared" ref="BB59" si="197">SUM(AV59:BA59)</f>
        <v>4122</v>
      </c>
      <c r="BC59" s="7" t="b">
        <f>BB59=$X59</f>
        <v>1</v>
      </c>
      <c r="BD59" s="7"/>
      <c r="BE59" s="7"/>
      <c r="BF59" s="7"/>
      <c r="BG59" s="7"/>
      <c r="BH59" s="7"/>
      <c r="BI59" s="7"/>
      <c r="BJ59" s="7"/>
      <c r="BK59" s="7"/>
      <c r="BL59" s="7"/>
      <c r="BM59" s="7"/>
      <c r="BN59" s="7"/>
      <c r="BO59" s="7"/>
      <c r="BP59" s="7">
        <f>MATCH($A59,GenUnits!$AX$43:$AX$48,1)</f>
        <v>2</v>
      </c>
      <c r="BQ59" s="7"/>
      <c r="BR59" s="2">
        <f t="shared" ref="BR59:BT63" ca="1" si="198">IF(Pro_Or_Run="P",N59/SUM($N59:$P59),OFFSET(RunwayAlloc_TL_National,$BP59,LargeThermal_Flag*3+BR$5))</f>
        <v>0.79761451621591573</v>
      </c>
      <c r="BS59" s="2">
        <f t="shared" ca="1" si="198"/>
        <v>0.19400699889136805</v>
      </c>
      <c r="BT59" s="2">
        <f t="shared" ca="1" si="198"/>
        <v>8.3784848927162189E-3</v>
      </c>
      <c r="BU59" s="59">
        <f t="shared" ref="BU59:BW63" ca="1" si="199">IF(Pro_Or_Run="P",N59/SUM($N59,$P59),OFFSET(RunwayAlloc_TL_WithinIsland,$BP59,LargeThermal_Flag*3+BU$5))</f>
        <v>0.98960476718632573</v>
      </c>
      <c r="BV59" s="59">
        <f t="shared" ca="1" si="199"/>
        <v>1</v>
      </c>
      <c r="BW59" s="59">
        <f t="shared" ca="1" si="199"/>
        <v>1.0395232813674229E-2</v>
      </c>
      <c r="BX59" s="2">
        <f>C59/U59</f>
        <v>0</v>
      </c>
      <c r="BY59" s="2">
        <f>SUM(AC59,AG59)/J59</f>
        <v>1</v>
      </c>
      <c r="BZ59" s="60">
        <f t="shared" ref="BZ59:CA63" ca="1" si="200">IF(Pro_Or_Run="P",N59/SUM($N59:$O59),BR59/SUM($BR59:$BS59))</f>
        <v>0.80435378222871823</v>
      </c>
      <c r="CA59" s="60">
        <f t="shared" ca="1" si="200"/>
        <v>0.1956462177712818</v>
      </c>
      <c r="CB59" s="52">
        <v>0</v>
      </c>
      <c r="CC59" s="2"/>
      <c r="CD59" t="str">
        <f>"SI IR price = $"&amp;$H59&amp;"/MW/h, 
NI IR price = $"&amp;$G59&amp;"/MW/h"</f>
        <v>SI IR price = $1/MW/h, 
NI IR price = $10/MW/h</v>
      </c>
      <c r="CE59" s="7"/>
      <c r="CF59" s="7"/>
      <c r="CG59" s="7" t="str">
        <f>AA59</f>
        <v>0 MW</v>
      </c>
      <c r="CH59" s="9">
        <f t="shared" ref="CH59" si="201">$V59-CJ59</f>
        <v>3874.5332337565346</v>
      </c>
      <c r="CI59" s="7">
        <f t="shared" si="71"/>
        <v>122</v>
      </c>
      <c r="CJ59" s="9">
        <f>$V59*$P59/SUM($N59,$P59)</f>
        <v>125.46676624346527</v>
      </c>
      <c r="CK59" s="7">
        <f t="shared" ref="CK59:CM63" ca="1" si="202">$X59*BR59</f>
        <v>3287.7670358420046</v>
      </c>
      <c r="CL59" s="7">
        <f t="shared" ca="1" si="202"/>
        <v>799.69684943021912</v>
      </c>
      <c r="CM59" s="7">
        <f t="shared" ca="1" si="202"/>
        <v>34.536114727776251</v>
      </c>
      <c r="CN59" s="7">
        <f t="shared" ref="CN59:CP63" ca="1" si="203">$X59*$BX59*BR59+$X59*(1-$BX59)*CH59/SUM($CH59:$CJ59)</f>
        <v>3874.5332337565346</v>
      </c>
      <c r="CO59" s="7">
        <f t="shared" ca="1" si="203"/>
        <v>122</v>
      </c>
      <c r="CP59" s="7">
        <f t="shared" ca="1" si="203"/>
        <v>125.46676624346527</v>
      </c>
      <c r="CQ59" s="7">
        <f t="array" aca="1" ref="CQ59" ca="1">(SUM(IF($AV$5:$BA$5=CQ$5,$AV59:$BA59))*BU59+SUM(IF($AV$5:$BA$5="B",$AV59:$BA59))*BR59)*$Q59</f>
        <v>3958.4190687453029</v>
      </c>
      <c r="CR59" s="7">
        <f t="array" aca="1" ref="CR59" ca="1">(SUM(IF($AV$5:$BA$5=CR$5,$AV59:$BA59))*BV59+SUM(IF($AV$5:$BA$5="B",$AV59:$BA59))*BS59)*$Q59</f>
        <v>122</v>
      </c>
      <c r="CS59" s="7">
        <f t="array" aca="1" ref="CS59" ca="1">(SUM(IF($AV$5:$BA$5=CS$5,$AV59:$BA59))*BW59+SUM(IF($AV$5:$BA$5="B",$AV59:$BA59))*BT59)*$Q59</f>
        <v>41.580931254696921</v>
      </c>
      <c r="CT59" s="7">
        <f t="array" aca="1" ref="CT59" ca="1">(SUM(IF($BF$5:$BL$5=CT$5,IF($BF$4:$BL$4="B",$BF59:$BL59)))*BU59+SUM(IF($BF$5:$BL$5=CT$5,IF($BF$4:$BL$4=CT$4,$BF59:$BL59)))+SUM(IF($BF$5:$BL$5="B",$BF59:$BL59))*BZ59)*$Q59</f>
        <v>0</v>
      </c>
      <c r="CU59" s="7">
        <f t="array" aca="1" ref="CU59" ca="1">(SUM(IF($BF$5:$BL$5=CU$5,IF($BF$4:$BL$4="B",$BF59:$BL59)))*BV59+SUM(IF($BF$5:$BL$5=CU$5,IF($BF$4:$BL$4=CU$4,$BF59:$BL59)))+SUM(IF($BF$5:$BL$5="B",$BF59:$BL59))*CA59)*$Q59</f>
        <v>0</v>
      </c>
      <c r="CV59" s="7">
        <f t="array" aca="1" ref="CV59" ca="1">(SUM(IF($BF$5:$BL$5=CV$5,IF($BF$4:$BL$4="B",$BF59:$BL59)))*BW59+SUM(IF($BF$5:$BL$5=CV$5,IF($BF$4:$BL$4=CV$4,$BF59:$BL59)))+SUM(IF($BF$5:$BL$5="B",$BF59:$BL59))*CB59)*$Q59</f>
        <v>0</v>
      </c>
      <c r="CW59" s="7"/>
      <c r="CX59" s="9">
        <f t="shared" si="72"/>
        <v>4000</v>
      </c>
      <c r="CY59" s="9">
        <f t="shared" ref="CY59" si="204">-CH59</f>
        <v>-3874.5332337565346</v>
      </c>
      <c r="CZ59" s="9">
        <f t="shared" ref="CZ59" si="205">SUM(CX59:CY59)</f>
        <v>125.46676624346537</v>
      </c>
      <c r="DA59" s="9">
        <f t="shared" si="75"/>
        <v>122</v>
      </c>
      <c r="DB59" s="9">
        <f t="shared" ref="DB59" si="206">-SUM(CI59:CJ59)</f>
        <v>-247.46676624346526</v>
      </c>
      <c r="DC59" s="9">
        <f t="shared" ref="DC59" si="207">SUM(DA59:DB59)</f>
        <v>-125.46676624346526</v>
      </c>
      <c r="DD59" s="9">
        <f t="shared" si="78"/>
        <v>4000</v>
      </c>
      <c r="DE59" s="9">
        <f ca="1">-$CK59</f>
        <v>-3287.7670358420046</v>
      </c>
      <c r="DF59" s="9">
        <f t="shared" ref="DF59" ca="1" si="208">SUM(DD59:DE59)</f>
        <v>712.23296415799541</v>
      </c>
      <c r="DG59" s="9">
        <f t="shared" si="80"/>
        <v>122</v>
      </c>
      <c r="DH59" s="9">
        <f t="shared" ref="DH59" ca="1" si="209">-SUM(CL59:CM59)</f>
        <v>-834.23296415799541</v>
      </c>
      <c r="DI59" s="9">
        <f t="shared" ref="DI59" ca="1" si="210">SUM(DG59:DH59)</f>
        <v>-712.23296415799541</v>
      </c>
      <c r="DJ59" s="9">
        <f t="shared" si="83"/>
        <v>4000</v>
      </c>
      <c r="DK59" s="9">
        <f ca="1">-$CN59</f>
        <v>-3874.5332337565346</v>
      </c>
      <c r="DL59" s="9">
        <f t="shared" ref="DL59" ca="1" si="211">SUM(DJ59:DK59)</f>
        <v>125.46676624346537</v>
      </c>
      <c r="DM59" s="9">
        <f t="shared" si="85"/>
        <v>122</v>
      </c>
      <c r="DN59" s="9">
        <f ca="1">-SUM($CO59:$CP59)</f>
        <v>-247.46676624346526</v>
      </c>
      <c r="DO59" s="9">
        <f t="shared" ref="DO59" ca="1" si="212">SUM(DM59:DN59)</f>
        <v>-125.46676624346526</v>
      </c>
      <c r="DP59" s="9">
        <f t="shared" si="87"/>
        <v>4000</v>
      </c>
      <c r="DQ59" s="9">
        <f ca="1">-$CQ59</f>
        <v>-3958.4190687453029</v>
      </c>
      <c r="DR59" s="9">
        <f t="shared" ref="DR59" ca="1" si="213">SUM(DP59:DQ59)</f>
        <v>41.580931254697134</v>
      </c>
      <c r="DS59" s="9">
        <f t="shared" si="89"/>
        <v>122</v>
      </c>
      <c r="DT59" s="9">
        <f ca="1">-SUM($CR59:$CS59)</f>
        <v>-163.58093125469691</v>
      </c>
      <c r="DU59" s="9">
        <f t="shared" ref="DU59" ca="1" si="214">SUM(DS59:DT59)</f>
        <v>-41.580931254696907</v>
      </c>
    </row>
    <row r="60" spans="1:125" ht="14.45" x14ac:dyDescent="0.35">
      <c r="A60" s="14">
        <f>A59</f>
        <v>600</v>
      </c>
      <c r="B60" s="1">
        <v>10</v>
      </c>
      <c r="C60" s="9">
        <f>MIN(B60,$C$3-A60-ModulationRisk)</f>
        <v>10</v>
      </c>
      <c r="D60" s="14">
        <f>MAX(0,A60-Pole2_limit+ModulationRisk)</f>
        <v>102</v>
      </c>
      <c r="E60" s="15">
        <f>E59</f>
        <v>220</v>
      </c>
      <c r="F60" s="15">
        <f t="shared" ref="F60" si="215">MIN(E60,MAX(-$B60,I60-K60),$C60)</f>
        <v>10</v>
      </c>
      <c r="G60">
        <f>G$59</f>
        <v>10</v>
      </c>
      <c r="H60">
        <f>H$59</f>
        <v>1</v>
      </c>
      <c r="I60" s="5">
        <f>GenUnits!$V$12</f>
        <v>400</v>
      </c>
      <c r="J60" s="5">
        <f>GenUnits!$W$12</f>
        <v>122</v>
      </c>
      <c r="K60" s="14">
        <f t="shared" si="60"/>
        <v>102</v>
      </c>
      <c r="L60" s="14">
        <f t="shared" ref="L60" si="216">MAX(I60,K60)</f>
        <v>400</v>
      </c>
      <c r="M60" s="14">
        <f t="shared" ref="M60" si="217">J60</f>
        <v>122</v>
      </c>
      <c r="N60" s="34">
        <f>GenUnits!$V$11</f>
        <v>1297</v>
      </c>
      <c r="O60" s="34">
        <f>GenUnits!$W$11</f>
        <v>864</v>
      </c>
      <c r="P60" s="14">
        <f>MAX(0,K60-DeMinimis)</f>
        <v>42</v>
      </c>
      <c r="Q60" s="14">
        <f t="shared" si="189"/>
        <v>1</v>
      </c>
      <c r="S60" s="7">
        <f t="shared" si="63"/>
        <v>390</v>
      </c>
      <c r="T60" s="7">
        <f>IF(F60&lt;0,MAX(0,M60-MIN($B60,S60)),MAX($M60-$C60,L60-S60))</f>
        <v>112</v>
      </c>
      <c r="U60" s="7">
        <f t="shared" ref="U60" si="218">SUM(S60:T60)</f>
        <v>502</v>
      </c>
      <c r="V60" s="7">
        <f>$S60*$G60</f>
        <v>3900</v>
      </c>
      <c r="W60" s="7">
        <f>$T60*$H60</f>
        <v>112</v>
      </c>
      <c r="X60" s="7">
        <f t="shared" ref="X60" si="219">SUM(V60:W60)</f>
        <v>4012</v>
      </c>
      <c r="Y60" s="7"/>
      <c r="Z60" s="7"/>
      <c r="AA60" s="45" t="str">
        <f t="shared" si="192"/>
        <v>10 MW</v>
      </c>
      <c r="AB60" s="7">
        <f t="shared" ref="AB60:AB63" si="220">$S60-SUM(AC60:AD60)</f>
        <v>380</v>
      </c>
      <c r="AC60" s="15">
        <f>MAX(0,MIN(B60,J60-T60))</f>
        <v>10</v>
      </c>
      <c r="AD60" s="8">
        <v>0</v>
      </c>
      <c r="AE60" s="15">
        <f>MAX(0,T60-J60)</f>
        <v>0</v>
      </c>
      <c r="AF60" s="56">
        <f t="shared" ref="AF60:AF63" si="221">$T60-SUM(AE60,AG60)</f>
        <v>10</v>
      </c>
      <c r="AG60" s="56">
        <f>$T60-($L60-$S60)</f>
        <v>102</v>
      </c>
      <c r="AH60" s="7">
        <f t="shared" ref="AH60" si="222">SUM(AB60:AG60)</f>
        <v>502</v>
      </c>
      <c r="AI60" s="7" t="b">
        <f t="shared" si="194"/>
        <v>1</v>
      </c>
      <c r="AJ60" s="7"/>
      <c r="AK60" s="7"/>
      <c r="AL60" s="7"/>
      <c r="AM60" s="7"/>
      <c r="AN60" s="7"/>
      <c r="AO60" s="7"/>
      <c r="AP60" s="7"/>
      <c r="AQ60" s="7"/>
      <c r="AR60" s="7"/>
      <c r="AS60" s="7"/>
      <c r="AT60" s="7"/>
      <c r="AU60" s="7"/>
      <c r="AV60" s="7">
        <f t="shared" si="195"/>
        <v>3800</v>
      </c>
      <c r="AW60" s="7">
        <f t="shared" si="195"/>
        <v>100</v>
      </c>
      <c r="AX60" s="7">
        <f t="shared" si="195"/>
        <v>0</v>
      </c>
      <c r="AY60" s="30">
        <f t="shared" si="196"/>
        <v>0</v>
      </c>
      <c r="AZ60" s="30">
        <f t="shared" si="196"/>
        <v>10</v>
      </c>
      <c r="BA60" s="30">
        <f t="shared" si="196"/>
        <v>102</v>
      </c>
      <c r="BB60" s="7">
        <f t="shared" ref="BB60" si="223">SUM(AV60:BA60)</f>
        <v>4012</v>
      </c>
      <c r="BC60" s="7" t="b">
        <f t="shared" ref="BC60:BC63" si="224">BB60=$X60</f>
        <v>1</v>
      </c>
      <c r="BD60" s="7"/>
      <c r="BE60" s="7"/>
      <c r="BF60" s="7"/>
      <c r="BG60" s="7"/>
      <c r="BH60" s="7"/>
      <c r="BI60" s="7"/>
      <c r="BJ60" s="7"/>
      <c r="BK60" s="7"/>
      <c r="BL60" s="7"/>
      <c r="BM60" s="7"/>
      <c r="BN60" s="7"/>
      <c r="BO60" s="7"/>
      <c r="BP60" s="7">
        <f>MATCH($A60,GenUnits!$AX$43:$AX$48,1)</f>
        <v>2</v>
      </c>
      <c r="BQ60" s="7"/>
      <c r="BR60" s="2">
        <f t="shared" ca="1" si="198"/>
        <v>0.79761451621591573</v>
      </c>
      <c r="BS60" s="2">
        <f t="shared" ca="1" si="198"/>
        <v>0.19400699889136805</v>
      </c>
      <c r="BT60" s="2">
        <f t="shared" ca="1" si="198"/>
        <v>8.3784848927162189E-3</v>
      </c>
      <c r="BU60" s="59">
        <f t="shared" ca="1" si="199"/>
        <v>0.98960476718632573</v>
      </c>
      <c r="BV60" s="59">
        <f t="shared" ca="1" si="199"/>
        <v>1</v>
      </c>
      <c r="BW60" s="59">
        <f t="shared" ca="1" si="199"/>
        <v>1.0395232813674229E-2</v>
      </c>
      <c r="BX60" s="2">
        <f>C60/U60</f>
        <v>1.9920318725099601E-2</v>
      </c>
      <c r="BY60" s="2">
        <f>SUM(AC60,AG60)/J60</f>
        <v>0.91803278688524592</v>
      </c>
      <c r="BZ60" s="60">
        <f t="shared" ca="1" si="200"/>
        <v>0.80435378222871823</v>
      </c>
      <c r="CA60" s="60">
        <f t="shared" ca="1" si="200"/>
        <v>0.1956462177712818</v>
      </c>
      <c r="CB60" s="52">
        <v>0</v>
      </c>
      <c r="CC60" s="2"/>
      <c r="CD60" s="7"/>
      <c r="CE60" s="7"/>
      <c r="CF60" s="7"/>
      <c r="CG60" s="7" t="str">
        <f>AA60</f>
        <v>10 MW</v>
      </c>
      <c r="CH60" s="9">
        <f t="shared" ref="CH60" si="225">$V60-CJ60</f>
        <v>3777.6699029126212</v>
      </c>
      <c r="CI60" s="7">
        <f t="shared" si="71"/>
        <v>112</v>
      </c>
      <c r="CJ60" s="9">
        <f>$V60*$P60/SUM($N60,$P60)</f>
        <v>122.33009708737865</v>
      </c>
      <c r="CK60" s="7">
        <f t="shared" ca="1" si="202"/>
        <v>3200.029439058254</v>
      </c>
      <c r="CL60" s="7">
        <f t="shared" ca="1" si="202"/>
        <v>778.35607955216858</v>
      </c>
      <c r="CM60" s="7">
        <f t="shared" ca="1" si="202"/>
        <v>33.61448138957747</v>
      </c>
      <c r="CN60" s="7">
        <f t="shared" ca="1" si="203"/>
        <v>3766.1631207641276</v>
      </c>
      <c r="CO60" s="7">
        <f t="shared" ca="1" si="203"/>
        <v>125.27402548908702</v>
      </c>
      <c r="CP60" s="7">
        <f t="shared" ca="1" si="203"/>
        <v>120.56285374678501</v>
      </c>
      <c r="CQ60" s="7">
        <f t="array" aca="1" ref="CQ60" ca="1">(SUM(IF($AV$5:$BA$5=CQ$5,$AV60:$BA60))*BU60+SUM(IF($AV$5:$BA$5="B",$AV60:$BA60))*BR60)*$Q60</f>
        <v>3848.2357120917886</v>
      </c>
      <c r="CR60" s="7">
        <f t="array" aca="1" ref="CR60" ca="1">(SUM(IF($AV$5:$BA$5=CR$5,$AV60:$BA60))*BV60+SUM(IF($AV$5:$BA$5="B",$AV60:$BA60))*BS60)*$Q60</f>
        <v>123.34076987805048</v>
      </c>
      <c r="CS60" s="7">
        <f t="array" aca="1" ref="CS60" ca="1">(SUM(IF($AV$5:$BA$5=CS$5,$AV60:$BA60))*BW60+SUM(IF($AV$5:$BA$5="B",$AV60:$BA60))*BT60)*$Q60</f>
        <v>40.423518030160849</v>
      </c>
      <c r="CT60" s="7">
        <f t="array" aca="1" ref="CT60" ca="1">(SUM(IF($BF$5:$BL$5=CT$5,IF($BF$4:$BL$4="B",$BF60:$BL60)))*BU60+SUM(IF($BF$5:$BL$5=CT$5,IF($BF$4:$BL$4=CT$4,$BF60:$BL60)))+SUM(IF($BF$5:$BL$5="B",$BF60:$BL60))*BZ60)*$Q60</f>
        <v>0</v>
      </c>
      <c r="CU60" s="7">
        <f t="array" aca="1" ref="CU60" ca="1">(SUM(IF($BF$5:$BL$5=CU$5,IF($BF$4:$BL$4="B",$BF60:$BL60)))*BV60+SUM(IF($BF$5:$BL$5=CU$5,IF($BF$4:$BL$4=CU$4,$BF60:$BL60)))+SUM(IF($BF$5:$BL$5="B",$BF60:$BL60))*CA60)*$Q60</f>
        <v>0</v>
      </c>
      <c r="CV60" s="7">
        <f t="array" aca="1" ref="CV60" ca="1">(SUM(IF($BF$5:$BL$5=CV$5,IF($BF$4:$BL$4="B",$BF60:$BL60)))*BW60+SUM(IF($BF$5:$BL$5=CV$5,IF($BF$4:$BL$4=CV$4,$BF60:$BL60)))+SUM(IF($BF$5:$BL$5="B",$BF60:$BL60))*CB60)*$Q60</f>
        <v>0</v>
      </c>
      <c r="CW60" s="7"/>
      <c r="CX60" s="9">
        <f t="shared" si="72"/>
        <v>3900</v>
      </c>
      <c r="CY60" s="9">
        <f t="shared" ref="CY60" si="226">-CH60</f>
        <v>-3777.6699029126212</v>
      </c>
      <c r="CZ60" s="9">
        <f t="shared" ref="CZ60" si="227">SUM(CX60:CY60)</f>
        <v>122.33009708737882</v>
      </c>
      <c r="DA60" s="9">
        <f t="shared" si="75"/>
        <v>112</v>
      </c>
      <c r="DB60" s="9">
        <f t="shared" ref="DB60" si="228">-SUM(CI60:CJ60)</f>
        <v>-234.33009708737865</v>
      </c>
      <c r="DC60" s="9">
        <f t="shared" ref="DC60" si="229">SUM(DA60:DB60)</f>
        <v>-122.33009708737865</v>
      </c>
      <c r="DD60" s="9">
        <f t="shared" si="78"/>
        <v>3900</v>
      </c>
      <c r="DE60" s="9">
        <f ca="1">-$CK60</f>
        <v>-3200.029439058254</v>
      </c>
      <c r="DF60" s="9">
        <f t="shared" ref="DF60" ca="1" si="230">SUM(DD60:DE60)</f>
        <v>699.97056094174604</v>
      </c>
      <c r="DG60" s="9">
        <f t="shared" si="80"/>
        <v>112</v>
      </c>
      <c r="DH60" s="9">
        <f t="shared" ref="DH60" ca="1" si="231">-SUM(CL60:CM60)</f>
        <v>-811.97056094174604</v>
      </c>
      <c r="DI60" s="9">
        <f t="shared" ref="DI60" ca="1" si="232">SUM(DG60:DH60)</f>
        <v>-699.97056094174604</v>
      </c>
      <c r="DJ60" s="9">
        <f t="shared" si="83"/>
        <v>3900</v>
      </c>
      <c r="DK60" s="9">
        <f ca="1">-$CN60</f>
        <v>-3766.1631207641276</v>
      </c>
      <c r="DL60" s="9">
        <f t="shared" ref="DL60" ca="1" si="233">SUM(DJ60:DK60)</f>
        <v>133.8368792358724</v>
      </c>
      <c r="DM60" s="9">
        <f t="shared" si="85"/>
        <v>112</v>
      </c>
      <c r="DN60" s="9">
        <f ca="1">-SUM($CO60:$CP60)</f>
        <v>-245.83687923587203</v>
      </c>
      <c r="DO60" s="9">
        <f t="shared" ref="DO60" ca="1" si="234">SUM(DM60:DN60)</f>
        <v>-133.83687923587203</v>
      </c>
      <c r="DP60" s="9">
        <f t="shared" si="87"/>
        <v>3900</v>
      </c>
      <c r="DQ60" s="9">
        <f ca="1">-$CQ60</f>
        <v>-3848.2357120917886</v>
      </c>
      <c r="DR60" s="9">
        <f t="shared" ref="DR60" ca="1" si="235">SUM(DP60:DQ60)</f>
        <v>51.764287908211372</v>
      </c>
      <c r="DS60" s="9">
        <f t="shared" si="89"/>
        <v>112</v>
      </c>
      <c r="DT60" s="9">
        <f ca="1">-SUM($CR60:$CS60)</f>
        <v>-163.76428790821132</v>
      </c>
      <c r="DU60" s="9">
        <f t="shared" ref="DU60" ca="1" si="236">SUM(DS60:DT60)</f>
        <v>-51.764287908211315</v>
      </c>
    </row>
    <row r="61" spans="1:125" ht="14.45" x14ac:dyDescent="0.35">
      <c r="A61" s="14">
        <f>A60</f>
        <v>600</v>
      </c>
      <c r="B61" s="1">
        <v>50</v>
      </c>
      <c r="C61" s="9">
        <f>MIN(B61,$C$3-A61-ModulationRisk)</f>
        <v>50</v>
      </c>
      <c r="D61" s="14">
        <f>MAX(0,A61-Pole2_limit+ModulationRisk)</f>
        <v>102</v>
      </c>
      <c r="E61" s="15">
        <f>E60</f>
        <v>220</v>
      </c>
      <c r="F61" s="15">
        <f t="shared" ref="F61:F62" si="237">MIN(E61,MAX(-$B61,I61-K61),$C61)</f>
        <v>50</v>
      </c>
      <c r="G61">
        <f t="shared" ref="G61:H63" si="238">G$59</f>
        <v>10</v>
      </c>
      <c r="H61">
        <f t="shared" si="238"/>
        <v>1</v>
      </c>
      <c r="I61" s="5">
        <f>GenUnits!$V$12</f>
        <v>400</v>
      </c>
      <c r="J61" s="5">
        <f>GenUnits!$W$12</f>
        <v>122</v>
      </c>
      <c r="K61" s="14">
        <f t="shared" si="60"/>
        <v>102</v>
      </c>
      <c r="L61" s="14">
        <f t="shared" ref="L61:L62" si="239">MAX(I61,K61)</f>
        <v>400</v>
      </c>
      <c r="M61" s="14">
        <f t="shared" ref="M61:M62" si="240">J61</f>
        <v>122</v>
      </c>
      <c r="N61" s="34">
        <f>GenUnits!$V$11</f>
        <v>1297</v>
      </c>
      <c r="O61" s="34">
        <f>GenUnits!$W$11</f>
        <v>864</v>
      </c>
      <c r="P61" s="14">
        <f>MAX(0,K61-DeMinimis)</f>
        <v>42</v>
      </c>
      <c r="Q61" s="14">
        <f t="shared" si="189"/>
        <v>1</v>
      </c>
      <c r="S61" s="7">
        <f t="shared" si="63"/>
        <v>350</v>
      </c>
      <c r="T61" s="7">
        <f>IF(F61&lt;0,MAX(0,M61-MIN($B61,S61)),MAX($M61-$C61,L61-S61))</f>
        <v>72</v>
      </c>
      <c r="U61" s="7">
        <f t="shared" ref="U61:U62" si="241">SUM(S61:T61)</f>
        <v>422</v>
      </c>
      <c r="V61" s="7">
        <f>$S61*$G61</f>
        <v>3500</v>
      </c>
      <c r="W61" s="7">
        <f>$T61*$H61</f>
        <v>72</v>
      </c>
      <c r="X61" s="7">
        <f t="shared" ref="X61:X62" si="242">SUM(V61:W61)</f>
        <v>3572</v>
      </c>
      <c r="Y61" s="7"/>
      <c r="Z61" s="7"/>
      <c r="AA61" s="45" t="str">
        <f t="shared" si="192"/>
        <v>50 MW</v>
      </c>
      <c r="AB61" s="7">
        <f t="shared" si="220"/>
        <v>300</v>
      </c>
      <c r="AC61" s="15">
        <f>MAX(0,MIN(B61,J61-T61))</f>
        <v>50</v>
      </c>
      <c r="AD61" s="8">
        <v>0</v>
      </c>
      <c r="AE61" s="15">
        <f>MAX(0,T61-J61)</f>
        <v>0</v>
      </c>
      <c r="AF61" s="7">
        <f t="shared" si="221"/>
        <v>50</v>
      </c>
      <c r="AG61" s="7">
        <f>$T61-($L61-$S61)</f>
        <v>22</v>
      </c>
      <c r="AH61" s="7">
        <f t="shared" ref="AH61:AH62" si="243">SUM(AB61:AG61)</f>
        <v>422</v>
      </c>
      <c r="AI61" s="7" t="b">
        <f t="shared" si="194"/>
        <v>1</v>
      </c>
      <c r="AJ61" s="7"/>
      <c r="AK61" s="7"/>
      <c r="AL61" s="7"/>
      <c r="AM61" s="7"/>
      <c r="AN61" s="7"/>
      <c r="AO61" s="7"/>
      <c r="AP61" s="7"/>
      <c r="AQ61" s="7"/>
      <c r="AR61" s="7"/>
      <c r="AS61" s="7"/>
      <c r="AT61" s="7"/>
      <c r="AU61" s="7"/>
      <c r="AV61" s="7">
        <f t="shared" si="195"/>
        <v>3000</v>
      </c>
      <c r="AW61" s="7">
        <f t="shared" si="195"/>
        <v>500</v>
      </c>
      <c r="AX61" s="7">
        <f t="shared" si="195"/>
        <v>0</v>
      </c>
      <c r="AY61" s="30">
        <f t="shared" si="196"/>
        <v>0</v>
      </c>
      <c r="AZ61" s="30">
        <f t="shared" si="196"/>
        <v>50</v>
      </c>
      <c r="BA61" s="30">
        <f t="shared" si="196"/>
        <v>22</v>
      </c>
      <c r="BB61" s="7">
        <f t="shared" ref="BB61:BB62" si="244">SUM(AV61:BA61)</f>
        <v>3572</v>
      </c>
      <c r="BC61" s="7" t="b">
        <f t="shared" si="224"/>
        <v>1</v>
      </c>
      <c r="BD61" s="7"/>
      <c r="BE61" s="7"/>
      <c r="BF61" s="7"/>
      <c r="BG61" s="7"/>
      <c r="BH61" s="7"/>
      <c r="BI61" s="7"/>
      <c r="BJ61" s="7"/>
      <c r="BK61" s="7"/>
      <c r="BL61" s="7"/>
      <c r="BM61" s="7"/>
      <c r="BN61" s="7"/>
      <c r="BO61" s="7"/>
      <c r="BP61" s="7">
        <f>MATCH($A61,GenUnits!$AX$43:$AX$48,1)</f>
        <v>2</v>
      </c>
      <c r="BQ61" s="7"/>
      <c r="BR61" s="2">
        <f t="shared" ca="1" si="198"/>
        <v>0.79761451621591573</v>
      </c>
      <c r="BS61" s="2">
        <f t="shared" ca="1" si="198"/>
        <v>0.19400699889136805</v>
      </c>
      <c r="BT61" s="2">
        <f t="shared" ca="1" si="198"/>
        <v>8.3784848927162189E-3</v>
      </c>
      <c r="BU61" s="59">
        <f t="shared" ca="1" si="199"/>
        <v>0.98960476718632573</v>
      </c>
      <c r="BV61" s="59">
        <f t="shared" ca="1" si="199"/>
        <v>1</v>
      </c>
      <c r="BW61" s="59">
        <f t="shared" ca="1" si="199"/>
        <v>1.0395232813674229E-2</v>
      </c>
      <c r="BX61" s="2">
        <f>C61/U61</f>
        <v>0.11848341232227488</v>
      </c>
      <c r="BY61" s="2">
        <f>SUM(AC61,AG61)/J61</f>
        <v>0.5901639344262295</v>
      </c>
      <c r="BZ61" s="60">
        <f t="shared" ca="1" si="200"/>
        <v>0.80435378222871823</v>
      </c>
      <c r="CA61" s="60">
        <f t="shared" ca="1" si="200"/>
        <v>0.1956462177712818</v>
      </c>
      <c r="CB61" s="52">
        <v>0</v>
      </c>
      <c r="CC61" s="2"/>
      <c r="CD61" s="7"/>
      <c r="CE61" s="7"/>
      <c r="CF61" s="7"/>
      <c r="CG61" s="7" t="str">
        <f>AA61</f>
        <v>50 MW</v>
      </c>
      <c r="CH61" s="9">
        <f t="shared" ref="CH61:CH62" si="245">$V61-CJ61</f>
        <v>3390.2165795369679</v>
      </c>
      <c r="CI61" s="7">
        <f t="shared" si="71"/>
        <v>72</v>
      </c>
      <c r="CJ61" s="9">
        <f>$V61*$P61/SUM($N61,$P61)</f>
        <v>109.78342046303212</v>
      </c>
      <c r="CK61" s="7">
        <f t="shared" ca="1" si="202"/>
        <v>2849.079051923251</v>
      </c>
      <c r="CL61" s="7">
        <f t="shared" ca="1" si="202"/>
        <v>692.99300003996666</v>
      </c>
      <c r="CM61" s="7">
        <f t="shared" ca="1" si="202"/>
        <v>29.927948036782333</v>
      </c>
      <c r="CN61" s="7">
        <f t="shared" ca="1" si="203"/>
        <v>3326.1007587296558</v>
      </c>
      <c r="CO61" s="7">
        <f t="shared" ca="1" si="203"/>
        <v>145.57736967298183</v>
      </c>
      <c r="CP61" s="7">
        <f t="shared" ca="1" si="203"/>
        <v>100.32187159736272</v>
      </c>
      <c r="CQ61" s="7">
        <f t="array" aca="1" ref="CQ61" ca="1">(SUM(IF($AV$5:$BA$5=CQ$5,$AV61:$BA61))*BU61+SUM(IF($AV$5:$BA$5="B",$AV61:$BA61))*BR61)*$Q61</f>
        <v>3407.5022854777308</v>
      </c>
      <c r="CR61" s="7">
        <f t="array" aca="1" ref="CR61" ca="1">(SUM(IF($AV$5:$BA$5=CR$5,$AV61:$BA61))*BV61+SUM(IF($AV$5:$BA$5="B",$AV61:$BA61))*BS61)*$Q61</f>
        <v>128.70384939025243</v>
      </c>
      <c r="CS61" s="7">
        <f t="array" aca="1" ref="CS61" ca="1">(SUM(IF($AV$5:$BA$5=CS$5,$AV61:$BA61))*BW61+SUM(IF($AV$5:$BA$5="B",$AV61:$BA61))*BT61)*$Q61</f>
        <v>35.793865132016606</v>
      </c>
      <c r="CT61" s="7">
        <f t="array" aca="1" ref="CT61" ca="1">(SUM(IF($BF$5:$BL$5=CT$5,IF($BF$4:$BL$4="B",$BF61:$BL61)))*BU61+SUM(IF($BF$5:$BL$5=CT$5,IF($BF$4:$BL$4=CT$4,$BF61:$BL61)))+SUM(IF($BF$5:$BL$5="B",$BF61:$BL61))*BZ61)*$Q61</f>
        <v>0</v>
      </c>
      <c r="CU61" s="7">
        <f t="array" aca="1" ref="CU61" ca="1">(SUM(IF($BF$5:$BL$5=CU$5,IF($BF$4:$BL$4="B",$BF61:$BL61)))*BV61+SUM(IF($BF$5:$BL$5=CU$5,IF($BF$4:$BL$4=CU$4,$BF61:$BL61)))+SUM(IF($BF$5:$BL$5="B",$BF61:$BL61))*CA61)*$Q61</f>
        <v>0</v>
      </c>
      <c r="CV61" s="7">
        <f t="array" aca="1" ref="CV61" ca="1">(SUM(IF($BF$5:$BL$5=CV$5,IF($BF$4:$BL$4="B",$BF61:$BL61)))*BW61+SUM(IF($BF$5:$BL$5=CV$5,IF($BF$4:$BL$4=CV$4,$BF61:$BL61)))+SUM(IF($BF$5:$BL$5="B",$BF61:$BL61))*CB61)*$Q61</f>
        <v>0</v>
      </c>
      <c r="CW61" s="7"/>
      <c r="CX61" s="9">
        <f t="shared" si="72"/>
        <v>3500</v>
      </c>
      <c r="CY61" s="9">
        <f t="shared" ref="CY61:CY62" si="246">-CH61</f>
        <v>-3390.2165795369679</v>
      </c>
      <c r="CZ61" s="9">
        <f t="shared" ref="CZ61:CZ62" si="247">SUM(CX61:CY61)</f>
        <v>109.78342046303214</v>
      </c>
      <c r="DA61" s="9">
        <f t="shared" si="75"/>
        <v>72</v>
      </c>
      <c r="DB61" s="9">
        <f t="shared" ref="DB61:DB62" si="248">-SUM(CI61:CJ61)</f>
        <v>-181.78342046303212</v>
      </c>
      <c r="DC61" s="9">
        <f t="shared" ref="DC61:DC62" si="249">SUM(DA61:DB61)</f>
        <v>-109.78342046303212</v>
      </c>
      <c r="DD61" s="9">
        <f t="shared" si="78"/>
        <v>3500</v>
      </c>
      <c r="DE61" s="9">
        <f ca="1">-$CK61</f>
        <v>-2849.079051923251</v>
      </c>
      <c r="DF61" s="9">
        <f t="shared" ref="DF61:DF62" ca="1" si="250">SUM(DD61:DE61)</f>
        <v>650.92094807674903</v>
      </c>
      <c r="DG61" s="9">
        <f t="shared" si="80"/>
        <v>72</v>
      </c>
      <c r="DH61" s="9">
        <f t="shared" ref="DH61:DH62" ca="1" si="251">-SUM(CL61:CM61)</f>
        <v>-722.92094807674903</v>
      </c>
      <c r="DI61" s="9">
        <f t="shared" ref="DI61:DI62" ca="1" si="252">SUM(DG61:DH61)</f>
        <v>-650.92094807674903</v>
      </c>
      <c r="DJ61" s="9">
        <f t="shared" si="83"/>
        <v>3500</v>
      </c>
      <c r="DK61" s="9">
        <f ca="1">-$CN61</f>
        <v>-3326.1007587296558</v>
      </c>
      <c r="DL61" s="9">
        <f t="shared" ref="DL61:DL62" ca="1" si="253">SUM(DJ61:DK61)</f>
        <v>173.89924127034419</v>
      </c>
      <c r="DM61" s="9">
        <f t="shared" si="85"/>
        <v>72</v>
      </c>
      <c r="DN61" s="9">
        <f ca="1">-SUM($CO61:$CP61)</f>
        <v>-245.89924127034453</v>
      </c>
      <c r="DO61" s="9">
        <f t="shared" ref="DO61:DO62" ca="1" si="254">SUM(DM61:DN61)</f>
        <v>-173.89924127034453</v>
      </c>
      <c r="DP61" s="9">
        <f t="shared" si="87"/>
        <v>3500</v>
      </c>
      <c r="DQ61" s="9">
        <f ca="1">-$CQ61</f>
        <v>-3407.5022854777308</v>
      </c>
      <c r="DR61" s="9">
        <f t="shared" ref="DR61:DR62" ca="1" si="255">SUM(DP61:DQ61)</f>
        <v>92.497714522269234</v>
      </c>
      <c r="DS61" s="9">
        <f t="shared" si="89"/>
        <v>72</v>
      </c>
      <c r="DT61" s="9">
        <f ca="1">-SUM($CR61:$CS61)</f>
        <v>-164.49771452226904</v>
      </c>
      <c r="DU61" s="9">
        <f t="shared" ref="DU61:DU62" ca="1" si="256">SUM(DS61:DT61)</f>
        <v>-92.497714522269035</v>
      </c>
    </row>
    <row r="62" spans="1:125" ht="14.45" x14ac:dyDescent="0.35">
      <c r="A62" s="14">
        <f>A61</f>
        <v>600</v>
      </c>
      <c r="B62" s="1">
        <v>100</v>
      </c>
      <c r="C62" s="9">
        <f>MIN(B62,$C$3-A62-ModulationRisk)</f>
        <v>100</v>
      </c>
      <c r="D62" s="14">
        <f>MAX(0,A62-Pole2_limit+ModulationRisk)</f>
        <v>102</v>
      </c>
      <c r="E62" s="15">
        <f>E61</f>
        <v>220</v>
      </c>
      <c r="F62" s="15">
        <f t="shared" si="237"/>
        <v>100</v>
      </c>
      <c r="G62">
        <f t="shared" si="238"/>
        <v>10</v>
      </c>
      <c r="H62">
        <f t="shared" si="238"/>
        <v>1</v>
      </c>
      <c r="I62" s="5">
        <f>GenUnits!$V$12</f>
        <v>400</v>
      </c>
      <c r="J62" s="5">
        <f>GenUnits!$W$12</f>
        <v>122</v>
      </c>
      <c r="K62" s="14">
        <f t="shared" si="60"/>
        <v>102</v>
      </c>
      <c r="L62" s="14">
        <f t="shared" si="239"/>
        <v>400</v>
      </c>
      <c r="M62" s="14">
        <f t="shared" si="240"/>
        <v>122</v>
      </c>
      <c r="N62" s="34">
        <f>GenUnits!$V$11</f>
        <v>1297</v>
      </c>
      <c r="O62" s="34">
        <f>GenUnits!$W$11</f>
        <v>864</v>
      </c>
      <c r="P62" s="14">
        <f>MAX(0,K62-DeMinimis)</f>
        <v>42</v>
      </c>
      <c r="Q62" s="14">
        <f t="shared" si="189"/>
        <v>1</v>
      </c>
      <c r="S62" s="7">
        <f t="shared" si="63"/>
        <v>300</v>
      </c>
      <c r="T62" s="7">
        <f>IF(F62&lt;0,MAX(0,M62-MIN($B62,S62)),MAX($M62-$C62,L62-S62))</f>
        <v>100</v>
      </c>
      <c r="U62" s="7">
        <f t="shared" si="241"/>
        <v>400</v>
      </c>
      <c r="V62" s="7">
        <f>$S62*$G62</f>
        <v>3000</v>
      </c>
      <c r="W62" s="7">
        <f>$T62*$H62</f>
        <v>100</v>
      </c>
      <c r="X62" s="7">
        <f t="shared" si="242"/>
        <v>3100</v>
      </c>
      <c r="Y62" s="7"/>
      <c r="Z62" s="7"/>
      <c r="AA62" s="45" t="str">
        <f t="shared" si="192"/>
        <v>100 MW</v>
      </c>
      <c r="AB62" s="7">
        <f t="shared" si="220"/>
        <v>278</v>
      </c>
      <c r="AC62" s="15">
        <f>MAX(0,MIN(B62,J62-T62))</f>
        <v>22</v>
      </c>
      <c r="AD62" s="8">
        <v>0</v>
      </c>
      <c r="AE62" s="15">
        <f>MAX(0,T62-J62)</f>
        <v>0</v>
      </c>
      <c r="AF62" s="7">
        <f t="shared" si="221"/>
        <v>100</v>
      </c>
      <c r="AG62" s="7">
        <f>$T62-($L62-$S62)</f>
        <v>0</v>
      </c>
      <c r="AH62" s="7">
        <f t="shared" si="243"/>
        <v>400</v>
      </c>
      <c r="AI62" s="7" t="b">
        <f t="shared" si="194"/>
        <v>1</v>
      </c>
      <c r="AJ62" s="7"/>
      <c r="AK62" s="7"/>
      <c r="AL62" s="7"/>
      <c r="AM62" s="7"/>
      <c r="AN62" s="7"/>
      <c r="AO62" s="7"/>
      <c r="AP62" s="7"/>
      <c r="AQ62" s="7"/>
      <c r="AR62" s="7"/>
      <c r="AS62" s="7"/>
      <c r="AT62" s="7"/>
      <c r="AU62" s="7"/>
      <c r="AV62" s="7">
        <f t="shared" si="195"/>
        <v>2780</v>
      </c>
      <c r="AW62" s="7">
        <f t="shared" si="195"/>
        <v>220</v>
      </c>
      <c r="AX62" s="7">
        <f t="shared" si="195"/>
        <v>0</v>
      </c>
      <c r="AY62" s="30">
        <f t="shared" si="196"/>
        <v>0</v>
      </c>
      <c r="AZ62" s="30">
        <f t="shared" si="196"/>
        <v>100</v>
      </c>
      <c r="BA62" s="30">
        <f t="shared" si="196"/>
        <v>0</v>
      </c>
      <c r="BB62" s="7">
        <f t="shared" si="244"/>
        <v>3100</v>
      </c>
      <c r="BC62" s="7" t="b">
        <f t="shared" si="224"/>
        <v>1</v>
      </c>
      <c r="BD62" s="7"/>
      <c r="BE62" s="7"/>
      <c r="BF62" s="7"/>
      <c r="BG62" s="7"/>
      <c r="BH62" s="7"/>
      <c r="BI62" s="7"/>
      <c r="BJ62" s="7"/>
      <c r="BK62" s="7"/>
      <c r="BL62" s="7"/>
      <c r="BM62" s="7"/>
      <c r="BN62" s="7"/>
      <c r="BO62" s="7"/>
      <c r="BP62" s="7">
        <f>MATCH($A62,GenUnits!$AX$43:$AX$48,1)</f>
        <v>2</v>
      </c>
      <c r="BQ62" s="7"/>
      <c r="BR62" s="2">
        <f t="shared" ca="1" si="198"/>
        <v>0.79761451621591573</v>
      </c>
      <c r="BS62" s="2">
        <f t="shared" ca="1" si="198"/>
        <v>0.19400699889136805</v>
      </c>
      <c r="BT62" s="2">
        <f t="shared" ca="1" si="198"/>
        <v>8.3784848927162189E-3</v>
      </c>
      <c r="BU62" s="59">
        <f t="shared" ca="1" si="199"/>
        <v>0.98960476718632573</v>
      </c>
      <c r="BV62" s="59">
        <f t="shared" ca="1" si="199"/>
        <v>1</v>
      </c>
      <c r="BW62" s="59">
        <f t="shared" ca="1" si="199"/>
        <v>1.0395232813674229E-2</v>
      </c>
      <c r="BX62" s="2">
        <f>C62/U62</f>
        <v>0.25</v>
      </c>
      <c r="BY62" s="2">
        <f>SUM(AC62,AG62)/J62</f>
        <v>0.18032786885245902</v>
      </c>
      <c r="BZ62" s="60">
        <f t="shared" ca="1" si="200"/>
        <v>0.80435378222871823</v>
      </c>
      <c r="CA62" s="60">
        <f t="shared" ca="1" si="200"/>
        <v>0.1956462177712818</v>
      </c>
      <c r="CB62" s="52">
        <v>0</v>
      </c>
      <c r="CC62" s="2"/>
      <c r="CD62" s="7"/>
      <c r="CE62" s="7"/>
      <c r="CF62" s="7"/>
      <c r="CG62" s="7" t="str">
        <f>AA62</f>
        <v>100 MW</v>
      </c>
      <c r="CH62" s="9">
        <f t="shared" si="245"/>
        <v>2905.8999253174011</v>
      </c>
      <c r="CI62" s="7">
        <f t="shared" si="71"/>
        <v>100</v>
      </c>
      <c r="CJ62" s="9">
        <f>$V62*$P62/SUM($N62,$P62)</f>
        <v>94.100074682598958</v>
      </c>
      <c r="CK62" s="7">
        <f t="shared" ca="1" si="202"/>
        <v>2472.6050002693387</v>
      </c>
      <c r="CL62" s="7">
        <f t="shared" ca="1" si="202"/>
        <v>601.42169656324097</v>
      </c>
      <c r="CM62" s="7">
        <f t="shared" ca="1" si="202"/>
        <v>25.97330316742028</v>
      </c>
      <c r="CN62" s="7">
        <f t="shared" ca="1" si="203"/>
        <v>2797.5761940553857</v>
      </c>
      <c r="CO62" s="7">
        <f t="shared" ca="1" si="203"/>
        <v>225.35542414081024</v>
      </c>
      <c r="CP62" s="7">
        <f t="shared" ca="1" si="203"/>
        <v>77.068381803804286</v>
      </c>
      <c r="CQ62" s="7">
        <f t="array" aca="1" ref="CQ62" ca="1">(SUM(IF($AV$5:$BA$5=CQ$5,$AV62:$BA62))*BU62+SUM(IF($AV$5:$BA$5="B",$AV62:$BA62))*BR62)*$Q62</f>
        <v>3006.3378979670783</v>
      </c>
      <c r="CR62" s="7">
        <f t="array" aca="1" ref="CR62" ca="1">(SUM(IF($AV$5:$BA$5=CR$5,$AV62:$BA62))*BV62+SUM(IF($AV$5:$BA$5="B",$AV62:$BA62))*BS62)*$Q62</f>
        <v>62.082239645237777</v>
      </c>
      <c r="CS62" s="7">
        <f t="array" aca="1" ref="CS62" ca="1">(SUM(IF($AV$5:$BA$5=CS$5,$AV62:$BA62))*BW62+SUM(IF($AV$5:$BA$5="B",$AV62:$BA62))*BT62)*$Q62</f>
        <v>31.579862387683548</v>
      </c>
      <c r="CT62" s="7">
        <f t="array" aca="1" ref="CT62" ca="1">(SUM(IF($BF$5:$BL$5=CT$5,IF($BF$4:$BL$4="B",$BF62:$BL62)))*BU62+SUM(IF($BF$5:$BL$5=CT$5,IF($BF$4:$BL$4=CT$4,$BF62:$BL62)))+SUM(IF($BF$5:$BL$5="B",$BF62:$BL62))*BZ62)*$Q62</f>
        <v>0</v>
      </c>
      <c r="CU62" s="7">
        <f t="array" aca="1" ref="CU62" ca="1">(SUM(IF($BF$5:$BL$5=CU$5,IF($BF$4:$BL$4="B",$BF62:$BL62)))*BV62+SUM(IF($BF$5:$BL$5=CU$5,IF($BF$4:$BL$4=CU$4,$BF62:$BL62)))+SUM(IF($BF$5:$BL$5="B",$BF62:$BL62))*CA62)*$Q62</f>
        <v>0</v>
      </c>
      <c r="CV62" s="7">
        <f t="array" aca="1" ref="CV62" ca="1">(SUM(IF($BF$5:$BL$5=CV$5,IF($BF$4:$BL$4="B",$BF62:$BL62)))*BW62+SUM(IF($BF$5:$BL$5=CV$5,IF($BF$4:$BL$4=CV$4,$BF62:$BL62)))+SUM(IF($BF$5:$BL$5="B",$BF62:$BL62))*CB62)*$Q62</f>
        <v>0</v>
      </c>
      <c r="CW62" s="7"/>
      <c r="CX62" s="9">
        <f t="shared" si="72"/>
        <v>3000</v>
      </c>
      <c r="CY62" s="9">
        <f t="shared" si="246"/>
        <v>-2905.8999253174011</v>
      </c>
      <c r="CZ62" s="9">
        <f t="shared" si="247"/>
        <v>94.100074682598915</v>
      </c>
      <c r="DA62" s="9">
        <f t="shared" si="75"/>
        <v>100</v>
      </c>
      <c r="DB62" s="9">
        <f t="shared" si="248"/>
        <v>-194.10007468259897</v>
      </c>
      <c r="DC62" s="9">
        <f t="shared" si="249"/>
        <v>-94.100074682598972</v>
      </c>
      <c r="DD62" s="9">
        <f t="shared" si="78"/>
        <v>3000</v>
      </c>
      <c r="DE62" s="9">
        <f ca="1">-$CK62</f>
        <v>-2472.6050002693387</v>
      </c>
      <c r="DF62" s="9">
        <f t="shared" ca="1" si="250"/>
        <v>527.39499973066131</v>
      </c>
      <c r="DG62" s="9">
        <f t="shared" si="80"/>
        <v>100</v>
      </c>
      <c r="DH62" s="9">
        <f t="shared" ca="1" si="251"/>
        <v>-627.3949997306612</v>
      </c>
      <c r="DI62" s="9">
        <f t="shared" ca="1" si="252"/>
        <v>-527.3949997306612</v>
      </c>
      <c r="DJ62" s="9">
        <f t="shared" si="83"/>
        <v>3000</v>
      </c>
      <c r="DK62" s="9">
        <f ca="1">-$CN62</f>
        <v>-2797.5761940553857</v>
      </c>
      <c r="DL62" s="9">
        <f t="shared" ca="1" si="253"/>
        <v>202.42380594461429</v>
      </c>
      <c r="DM62" s="9">
        <f t="shared" si="85"/>
        <v>100</v>
      </c>
      <c r="DN62" s="9">
        <f ca="1">-SUM($CO62:$CP62)</f>
        <v>-302.42380594461451</v>
      </c>
      <c r="DO62" s="9">
        <f t="shared" ca="1" si="254"/>
        <v>-202.42380594461451</v>
      </c>
      <c r="DP62" s="9">
        <f t="shared" si="87"/>
        <v>3000</v>
      </c>
      <c r="DQ62" s="9">
        <f ca="1">-$CQ62</f>
        <v>-3006.3378979670783</v>
      </c>
      <c r="DR62" s="9">
        <f t="shared" ca="1" si="255"/>
        <v>-6.3378979670783337</v>
      </c>
      <c r="DS62" s="9">
        <f t="shared" si="89"/>
        <v>100</v>
      </c>
      <c r="DT62" s="9">
        <f ca="1">-SUM($CR62:$CS62)</f>
        <v>-93.662102032921325</v>
      </c>
      <c r="DU62" s="9">
        <f t="shared" ca="1" si="256"/>
        <v>6.3378979670786748</v>
      </c>
    </row>
    <row r="63" spans="1:125" x14ac:dyDescent="0.25">
      <c r="A63" s="14">
        <f>A62</f>
        <v>600</v>
      </c>
      <c r="B63" s="55">
        <f>$C$1</f>
        <v>220</v>
      </c>
      <c r="C63" s="9">
        <f>MIN(B63,$C$3-A63-ModulationRisk)</f>
        <v>220</v>
      </c>
      <c r="D63" s="14">
        <f>MAX(0,A63-Pole2_limit+ModulationRisk)</f>
        <v>102</v>
      </c>
      <c r="E63" s="15">
        <f>E62</f>
        <v>220</v>
      </c>
      <c r="F63" s="15">
        <f t="shared" ref="F63" si="257">MIN(E63,MAX(-$B63,I63-K63),$C63)</f>
        <v>220</v>
      </c>
      <c r="G63">
        <f t="shared" si="238"/>
        <v>10</v>
      </c>
      <c r="H63">
        <f t="shared" si="238"/>
        <v>1</v>
      </c>
      <c r="I63" s="5">
        <f>GenUnits!$V$12</f>
        <v>400</v>
      </c>
      <c r="J63" s="5">
        <f>GenUnits!$W$12</f>
        <v>122</v>
      </c>
      <c r="K63" s="14">
        <f t="shared" si="60"/>
        <v>102</v>
      </c>
      <c r="L63" s="14">
        <f t="shared" ref="L63" si="258">MAX(I63,K63)</f>
        <v>400</v>
      </c>
      <c r="M63" s="14">
        <f t="shared" ref="M63" si="259">J63</f>
        <v>122</v>
      </c>
      <c r="N63" s="34">
        <f>GenUnits!$V$11</f>
        <v>1297</v>
      </c>
      <c r="O63" s="34">
        <f>GenUnits!$W$11</f>
        <v>864</v>
      </c>
      <c r="P63" s="14">
        <f>MAX(0,K63-DeMinimis)</f>
        <v>42</v>
      </c>
      <c r="Q63" s="14">
        <f t="shared" si="189"/>
        <v>1</v>
      </c>
      <c r="S63" s="7">
        <f t="shared" si="63"/>
        <v>180</v>
      </c>
      <c r="T63" s="7">
        <f>IF(F63&lt;0,MAX(0,M63-MIN($B63,S63)),MAX($M63-$C63,L63-S63))</f>
        <v>220</v>
      </c>
      <c r="U63" s="7">
        <f t="shared" ref="U63" si="260">SUM(S63:T63)</f>
        <v>400</v>
      </c>
      <c r="V63" s="7">
        <f>$S63*$G63</f>
        <v>1800</v>
      </c>
      <c r="W63" s="7">
        <f>$T63*$H63</f>
        <v>220</v>
      </c>
      <c r="X63" s="7">
        <f t="shared" ref="X63" si="261">SUM(V63:W63)</f>
        <v>2020</v>
      </c>
      <c r="Y63" s="7"/>
      <c r="Z63" s="7"/>
      <c r="AA63" s="45" t="str">
        <f t="shared" si="192"/>
        <v>220 MW</v>
      </c>
      <c r="AB63" s="7">
        <f t="shared" si="220"/>
        <v>180</v>
      </c>
      <c r="AC63" s="15">
        <f>MAX(0,MIN(B63,J63-T63))</f>
        <v>0</v>
      </c>
      <c r="AD63" s="8">
        <v>0</v>
      </c>
      <c r="AE63" s="15">
        <f>MAX(0,T63-J63)</f>
        <v>98</v>
      </c>
      <c r="AF63" s="7">
        <f t="shared" si="221"/>
        <v>122</v>
      </c>
      <c r="AG63" s="7">
        <f>$T63-($L63-$S63)</f>
        <v>0</v>
      </c>
      <c r="AH63" s="7">
        <f t="shared" ref="AH63" si="262">SUM(AB63:AG63)</f>
        <v>400</v>
      </c>
      <c r="AI63" s="7" t="b">
        <f t="shared" si="194"/>
        <v>1</v>
      </c>
      <c r="AJ63" s="7"/>
      <c r="AK63" s="7"/>
      <c r="AL63" s="7"/>
      <c r="AM63" s="7"/>
      <c r="AN63" s="7"/>
      <c r="AO63" s="7"/>
      <c r="AP63" s="7"/>
      <c r="AQ63" s="7"/>
      <c r="AR63" s="7"/>
      <c r="AS63" s="7"/>
      <c r="AT63" s="7"/>
      <c r="AU63" s="7"/>
      <c r="AV63" s="7">
        <f t="shared" si="195"/>
        <v>1800</v>
      </c>
      <c r="AW63" s="7">
        <f t="shared" si="195"/>
        <v>0</v>
      </c>
      <c r="AX63" s="7">
        <f t="shared" si="195"/>
        <v>0</v>
      </c>
      <c r="AY63" s="30">
        <f t="shared" si="196"/>
        <v>98</v>
      </c>
      <c r="AZ63" s="30">
        <f t="shared" si="196"/>
        <v>122</v>
      </c>
      <c r="BA63" s="30">
        <f t="shared" si="196"/>
        <v>0</v>
      </c>
      <c r="BB63" s="7">
        <f t="shared" ref="BB63" si="263">SUM(AV63:BA63)</f>
        <v>2020</v>
      </c>
      <c r="BC63" s="7" t="b">
        <f t="shared" si="224"/>
        <v>1</v>
      </c>
      <c r="BD63" s="7"/>
      <c r="BE63" s="7"/>
      <c r="BF63" s="7"/>
      <c r="BG63" s="7"/>
      <c r="BH63" s="7"/>
      <c r="BI63" s="7"/>
      <c r="BJ63" s="7"/>
      <c r="BK63" s="7"/>
      <c r="BL63" s="7"/>
      <c r="BM63" s="7"/>
      <c r="BN63" s="7"/>
      <c r="BO63" s="7"/>
      <c r="BP63" s="7">
        <f>MATCH($A63,GenUnits!$AX$43:$AX$48,1)</f>
        <v>2</v>
      </c>
      <c r="BQ63" s="7"/>
      <c r="BR63" s="2">
        <f t="shared" ca="1" si="198"/>
        <v>0.79761451621591573</v>
      </c>
      <c r="BS63" s="2">
        <f t="shared" ca="1" si="198"/>
        <v>0.19400699889136805</v>
      </c>
      <c r="BT63" s="2">
        <f t="shared" ca="1" si="198"/>
        <v>8.3784848927162189E-3</v>
      </c>
      <c r="BU63" s="59">
        <f t="shared" ca="1" si="199"/>
        <v>0.98960476718632573</v>
      </c>
      <c r="BV63" s="59">
        <f t="shared" ca="1" si="199"/>
        <v>1</v>
      </c>
      <c r="BW63" s="59">
        <f t="shared" ca="1" si="199"/>
        <v>1.0395232813674229E-2</v>
      </c>
      <c r="BX63" s="2">
        <f>C63/U63</f>
        <v>0.55000000000000004</v>
      </c>
      <c r="BY63" s="2">
        <f>SUM(AC63,AG63)/J63</f>
        <v>0</v>
      </c>
      <c r="BZ63" s="60">
        <f t="shared" ca="1" si="200"/>
        <v>0.80435378222871823</v>
      </c>
      <c r="CA63" s="60">
        <f t="shared" ca="1" si="200"/>
        <v>0.1956462177712818</v>
      </c>
      <c r="CB63" s="52">
        <v>0</v>
      </c>
      <c r="CC63" s="2"/>
      <c r="CD63" s="7"/>
      <c r="CE63" s="7"/>
      <c r="CF63" s="7"/>
      <c r="CG63" s="7" t="str">
        <f>AA63</f>
        <v>220 MW</v>
      </c>
      <c r="CH63" s="9">
        <f t="shared" ref="CH63" si="264">$V63-CJ63</f>
        <v>1743.5399551904407</v>
      </c>
      <c r="CI63" s="7">
        <f t="shared" si="71"/>
        <v>220</v>
      </c>
      <c r="CJ63" s="9">
        <f>$V63*$P63/SUM($N63,$P63)</f>
        <v>56.460044809559371</v>
      </c>
      <c r="CK63" s="7">
        <f t="shared" ca="1" si="202"/>
        <v>1611.1813227561497</v>
      </c>
      <c r="CL63" s="7">
        <f t="shared" ca="1" si="202"/>
        <v>391.89413776056347</v>
      </c>
      <c r="CM63" s="7">
        <f t="shared" ca="1" si="202"/>
        <v>16.924539483286761</v>
      </c>
      <c r="CN63" s="7">
        <f t="shared" ca="1" si="203"/>
        <v>1670.7427073515805</v>
      </c>
      <c r="CO63" s="7">
        <f t="shared" ca="1" si="203"/>
        <v>314.54177576830989</v>
      </c>
      <c r="CP63" s="7">
        <f t="shared" ca="1" si="203"/>
        <v>34.715516880109433</v>
      </c>
      <c r="CQ63" s="7">
        <f t="array" aca="1" ref="CQ63" ca="1">(SUM(IF($AV$5:$BA$5=CQ$5,$AV63:$BA63))*BU63+SUM(IF($AV$5:$BA$5="B",$AV63:$BA63))*BR63)*$Q63</f>
        <v>1975.5788190979879</v>
      </c>
      <c r="CR63" s="7">
        <f t="array" aca="1" ref="CR63" ca="1">(SUM(IF($AV$5:$BA$5=CR$5,$AV63:$BA63))*BV63+SUM(IF($AV$5:$BA$5="B",$AV63:$BA63))*BS63)*$Q63</f>
        <v>23.6688538647469</v>
      </c>
      <c r="CS63" s="7">
        <f t="array" aca="1" ref="CS63" ca="1">(SUM(IF($AV$5:$BA$5=CS$5,$AV63:$BA63))*BW63+SUM(IF($AV$5:$BA$5="B",$AV63:$BA63))*BT63)*$Q63</f>
        <v>20.752327037265065</v>
      </c>
      <c r="CT63" s="7">
        <f t="array" aca="1" ref="CT63" ca="1">(SUM(IF($BF$5:$BL$5=CT$5,IF($BF$4:$BL$4="B",$BF63:$BL63)))*BU63+SUM(IF($BF$5:$BL$5=CT$5,IF($BF$4:$BL$4=CT$4,$BF63:$BL63)))+SUM(IF($BF$5:$BL$5="B",$BF63:$BL63))*BZ63)*$Q63</f>
        <v>0</v>
      </c>
      <c r="CU63" s="7">
        <f t="array" aca="1" ref="CU63" ca="1">(SUM(IF($BF$5:$BL$5=CU$5,IF($BF$4:$BL$4="B",$BF63:$BL63)))*BV63+SUM(IF($BF$5:$BL$5=CU$5,IF($BF$4:$BL$4=CU$4,$BF63:$BL63)))+SUM(IF($BF$5:$BL$5="B",$BF63:$BL63))*CA63)*$Q63</f>
        <v>0</v>
      </c>
      <c r="CV63" s="7">
        <f t="array" aca="1" ref="CV63" ca="1">(SUM(IF($BF$5:$BL$5=CV$5,IF($BF$4:$BL$4="B",$BF63:$BL63)))*BW63+SUM(IF($BF$5:$BL$5=CV$5,IF($BF$4:$BL$4=CV$4,$BF63:$BL63)))+SUM(IF($BF$5:$BL$5="B",$BF63:$BL63))*CB63)*$Q63</f>
        <v>0</v>
      </c>
      <c r="CW63" s="7"/>
      <c r="CX63" s="9">
        <f t="shared" si="72"/>
        <v>1800</v>
      </c>
      <c r="CY63" s="9">
        <f t="shared" ref="CY63" si="265">-CH63</f>
        <v>-1743.5399551904407</v>
      </c>
      <c r="CZ63" s="9">
        <f t="shared" ref="CZ63" si="266">SUM(CX63:CY63)</f>
        <v>56.460044809559349</v>
      </c>
      <c r="DA63" s="9">
        <f t="shared" si="75"/>
        <v>220</v>
      </c>
      <c r="DB63" s="9">
        <f t="shared" ref="DB63" si="267">-SUM(CI63:CJ63)</f>
        <v>-276.46004480955935</v>
      </c>
      <c r="DC63" s="9">
        <f t="shared" ref="DC63" si="268">SUM(DA63:DB63)</f>
        <v>-56.460044809559349</v>
      </c>
      <c r="DD63" s="9">
        <f t="shared" si="78"/>
        <v>1800</v>
      </c>
      <c r="DE63" s="9">
        <f ca="1">-$CK63</f>
        <v>-1611.1813227561497</v>
      </c>
      <c r="DF63" s="9">
        <f t="shared" ref="DF63" ca="1" si="269">SUM(DD63:DE63)</f>
        <v>188.81867724385029</v>
      </c>
      <c r="DG63" s="9">
        <f t="shared" si="80"/>
        <v>220</v>
      </c>
      <c r="DH63" s="9">
        <f t="shared" ref="DH63" ca="1" si="270">-SUM(CL63:CM63)</f>
        <v>-408.81867724385023</v>
      </c>
      <c r="DI63" s="9">
        <f t="shared" ref="DI63" ca="1" si="271">SUM(DG63:DH63)</f>
        <v>-188.81867724385023</v>
      </c>
      <c r="DJ63" s="9">
        <f t="shared" si="83"/>
        <v>1800</v>
      </c>
      <c r="DK63" s="9">
        <f ca="1">-$CN63</f>
        <v>-1670.7427073515805</v>
      </c>
      <c r="DL63" s="9">
        <f t="shared" ref="DL63" ca="1" si="272">SUM(DJ63:DK63)</f>
        <v>129.25729264841948</v>
      </c>
      <c r="DM63" s="9">
        <f t="shared" si="85"/>
        <v>220</v>
      </c>
      <c r="DN63" s="9">
        <f ca="1">-SUM($CO63:$CP63)</f>
        <v>-349.25729264841931</v>
      </c>
      <c r="DO63" s="9">
        <f t="shared" ref="DO63" ca="1" si="273">SUM(DM63:DN63)</f>
        <v>-129.25729264841931</v>
      </c>
      <c r="DP63" s="9">
        <f t="shared" si="87"/>
        <v>1800</v>
      </c>
      <c r="DQ63" s="9">
        <f ca="1">-$CQ63</f>
        <v>-1975.5788190979879</v>
      </c>
      <c r="DR63" s="9">
        <f t="shared" ref="DR63" ca="1" si="274">SUM(DP63:DQ63)</f>
        <v>-175.57881909798789</v>
      </c>
      <c r="DS63" s="9">
        <f t="shared" si="89"/>
        <v>220</v>
      </c>
      <c r="DT63" s="9">
        <f ca="1">-SUM($CR63:$CS63)</f>
        <v>-44.421180902011969</v>
      </c>
      <c r="DU63" s="9">
        <f t="shared" ref="DU63" ca="1" si="275">SUM(DS63:DT63)</f>
        <v>175.57881909798803</v>
      </c>
    </row>
    <row r="64" spans="1:125" x14ac:dyDescent="0.25">
      <c r="E64" s="8"/>
      <c r="F64" s="15"/>
      <c r="S64" s="40"/>
      <c r="T64" s="40"/>
      <c r="U64" s="40"/>
      <c r="V64" s="40"/>
      <c r="W64" s="40"/>
      <c r="X64" s="40"/>
      <c r="Y64" s="40"/>
      <c r="Z64" s="40"/>
      <c r="AA64" s="41"/>
      <c r="AB64" s="40"/>
      <c r="AC64" s="42"/>
      <c r="AD64" s="43"/>
      <c r="AE64" s="42"/>
      <c r="AF64" s="40"/>
      <c r="AG64" s="40"/>
      <c r="AH64" s="40"/>
      <c r="AI64" s="40"/>
      <c r="AJ64" s="40"/>
      <c r="AK64" s="40"/>
      <c r="AL64" s="40"/>
      <c r="AM64" s="40"/>
      <c r="AN64" s="40"/>
      <c r="AO64" s="40"/>
      <c r="AP64" s="40"/>
      <c r="AQ64" s="40"/>
      <c r="AR64" s="40"/>
      <c r="AS64" s="40"/>
      <c r="AT64" s="40"/>
      <c r="AU64" s="40"/>
      <c r="AV64" s="7"/>
      <c r="AW64" s="7"/>
      <c r="AX64" s="7"/>
      <c r="AY64" s="30"/>
      <c r="AZ64" s="30"/>
      <c r="BA64" s="30"/>
      <c r="BB64" s="7"/>
      <c r="BC64" s="7"/>
      <c r="BD64" s="7"/>
      <c r="BE64" s="7"/>
      <c r="BF64" s="7"/>
      <c r="BG64" s="7"/>
      <c r="BH64" s="7"/>
      <c r="BI64" s="7"/>
      <c r="BJ64" s="7"/>
      <c r="BK64" s="7"/>
      <c r="BL64" s="7"/>
      <c r="BM64" s="7"/>
      <c r="BN64" s="7"/>
      <c r="BO64" s="7"/>
      <c r="BP64" s="7"/>
      <c r="BQ64" s="7"/>
      <c r="BR64" s="2"/>
      <c r="BS64" s="2"/>
      <c r="BT64" s="2"/>
      <c r="BU64" s="2"/>
      <c r="BV64" s="6"/>
      <c r="BW64" s="2"/>
      <c r="BX64" s="2"/>
      <c r="BY64" s="2"/>
      <c r="BZ64" s="2"/>
      <c r="CA64" s="2"/>
      <c r="CB64" s="2"/>
      <c r="CC64" s="2"/>
      <c r="CD64" s="7"/>
      <c r="CE64" s="7"/>
      <c r="CF64" s="7"/>
      <c r="CG64" s="7"/>
      <c r="CH64" s="9"/>
      <c r="CI64" s="7"/>
      <c r="CJ64" s="9"/>
      <c r="CK64" s="7"/>
      <c r="CL64" s="7"/>
      <c r="CM64" s="7"/>
      <c r="CN64" s="7"/>
      <c r="CO64" s="7"/>
      <c r="CP64" s="7"/>
      <c r="CQ64" s="7"/>
      <c r="CR64" s="7"/>
      <c r="CS64" s="7"/>
      <c r="CT64" s="7"/>
      <c r="CU64" s="7"/>
      <c r="CV64" s="7"/>
      <c r="CW64" s="7"/>
      <c r="CX64" s="9"/>
      <c r="CY64" s="9"/>
      <c r="CZ64" s="9"/>
      <c r="DA64" s="9"/>
      <c r="DB64" s="9"/>
      <c r="DC64" s="9"/>
      <c r="DD64" s="9"/>
      <c r="DE64" s="9"/>
      <c r="DF64" s="9"/>
      <c r="DG64" s="9"/>
      <c r="DH64" s="9"/>
      <c r="DI64" s="9"/>
      <c r="DJ64" s="9"/>
      <c r="DK64" s="9"/>
      <c r="DL64" s="9"/>
      <c r="DM64" s="9"/>
      <c r="DN64" s="9"/>
      <c r="DO64" s="9"/>
      <c r="DP64" s="9"/>
      <c r="DQ64" s="9"/>
      <c r="DR64" s="9"/>
      <c r="DS64" s="9"/>
      <c r="DT64" s="9"/>
      <c r="DU64" s="9"/>
    </row>
    <row r="65" spans="1:125" x14ac:dyDescent="0.25">
      <c r="A65" s="4" t="s">
        <v>203</v>
      </c>
      <c r="E65" s="8"/>
      <c r="F65" s="15"/>
      <c r="S65" s="40"/>
      <c r="T65" s="40"/>
      <c r="U65" s="40"/>
      <c r="V65" s="40"/>
      <c r="W65" s="40"/>
      <c r="X65" s="40"/>
      <c r="Y65" s="40"/>
      <c r="Z65" s="40"/>
      <c r="AA65" s="41" t="s">
        <v>204</v>
      </c>
      <c r="AB65" s="40"/>
      <c r="AC65" s="42"/>
      <c r="AD65" s="43"/>
      <c r="AE65" s="42"/>
      <c r="AF65" s="40"/>
      <c r="AG65" s="40"/>
      <c r="AH65" s="40"/>
      <c r="AI65" s="40"/>
      <c r="AJ65" s="40"/>
      <c r="AK65" s="40"/>
      <c r="AL65" s="40"/>
      <c r="AM65" s="40"/>
      <c r="AN65" s="40"/>
      <c r="AO65" s="40"/>
      <c r="AP65" s="40"/>
      <c r="AQ65" s="40"/>
      <c r="AR65" s="40"/>
      <c r="AS65" s="40"/>
      <c r="AT65" s="40"/>
      <c r="AU65" s="40"/>
      <c r="AV65" s="7"/>
      <c r="AW65" s="7"/>
      <c r="AX65" s="7"/>
      <c r="AY65" s="30"/>
      <c r="AZ65" s="30"/>
      <c r="BA65" s="30"/>
      <c r="BB65" s="7"/>
      <c r="BC65" s="7"/>
      <c r="BD65" s="7"/>
      <c r="BE65" s="7"/>
      <c r="BF65" s="7"/>
      <c r="BG65" s="7"/>
      <c r="BH65" s="7"/>
      <c r="BI65" s="7"/>
      <c r="BJ65" s="7"/>
      <c r="BK65" s="7"/>
      <c r="BL65" s="7"/>
      <c r="BM65" s="7"/>
      <c r="BN65" s="7"/>
      <c r="BO65" s="7"/>
      <c r="BP65" s="7"/>
      <c r="BQ65" s="7"/>
      <c r="BR65" s="2"/>
      <c r="BS65" s="2"/>
      <c r="BT65" s="2"/>
      <c r="BU65" s="2"/>
      <c r="BV65" s="6"/>
      <c r="BW65" s="2"/>
      <c r="BX65" s="2"/>
      <c r="BY65" s="2"/>
      <c r="BZ65" s="2"/>
      <c r="CA65" s="2"/>
      <c r="CB65" s="2"/>
      <c r="CC65" s="2"/>
      <c r="CD65" s="7"/>
      <c r="CE65" s="7"/>
      <c r="CF65" s="7"/>
      <c r="CG65" s="7"/>
      <c r="CH65" s="9"/>
      <c r="CI65" s="7"/>
      <c r="CJ65" s="9"/>
      <c r="CK65" s="7"/>
      <c r="CL65" s="7"/>
      <c r="CM65" s="7"/>
      <c r="CN65" s="7"/>
      <c r="CO65" s="7"/>
      <c r="CP65" s="7"/>
      <c r="CQ65" s="7"/>
      <c r="CR65" s="7"/>
      <c r="CS65" s="7"/>
      <c r="CT65" s="7"/>
      <c r="CU65" s="7"/>
      <c r="CV65" s="7"/>
      <c r="CW65" s="7"/>
      <c r="CX65" s="9"/>
      <c r="CY65" s="9"/>
      <c r="CZ65" s="9"/>
      <c r="DA65" s="9"/>
      <c r="DB65" s="9"/>
      <c r="DC65" s="9"/>
      <c r="DD65" s="9"/>
      <c r="DE65" s="9"/>
      <c r="DF65" s="9"/>
      <c r="DG65" s="9"/>
      <c r="DH65" s="9"/>
      <c r="DI65" s="9"/>
      <c r="DJ65" s="9"/>
      <c r="DK65" s="9"/>
      <c r="DL65" s="9"/>
      <c r="DM65" s="9"/>
      <c r="DN65" s="9"/>
      <c r="DO65" s="9"/>
      <c r="DP65" s="9"/>
      <c r="DQ65" s="9"/>
      <c r="DR65" s="9"/>
      <c r="DS65" s="9"/>
      <c r="DT65" s="9"/>
      <c r="DU65" s="9"/>
    </row>
    <row r="66" spans="1:125" ht="90" x14ac:dyDescent="0.25">
      <c r="E66" s="8"/>
      <c r="F66" s="15"/>
      <c r="S66" s="40"/>
      <c r="T66" s="40"/>
      <c r="U66" s="40"/>
      <c r="V66" s="40"/>
      <c r="W66" s="40"/>
      <c r="X66" s="40"/>
      <c r="Y66" s="40"/>
      <c r="Z66" s="40"/>
      <c r="AA66" s="41"/>
      <c r="AB66" s="40" t="str">
        <f>AB$7</f>
        <v>NI_IR 4 NI_Risk</v>
      </c>
      <c r="AC66" s="40" t="str">
        <f t="shared" ref="AC66:AG66" si="276">AC$7</f>
        <v>NI_IR 4 shared_risk</v>
      </c>
      <c r="AD66" s="40" t="str">
        <f t="shared" si="276"/>
        <v>NI_IR 4 SI_Risk</v>
      </c>
      <c r="AE66" s="40" t="str">
        <f t="shared" si="276"/>
        <v>SI_IR 4 NI_Risk</v>
      </c>
      <c r="AF66" s="40" t="str">
        <f t="shared" si="276"/>
        <v>SI_IR 4 shared_risk</v>
      </c>
      <c r="AG66" s="40" t="str">
        <f t="shared" si="276"/>
        <v>SI_IR 4 SI_Risk</v>
      </c>
      <c r="AH66" s="40"/>
      <c r="AI66" s="40"/>
      <c r="AJ66" s="40"/>
      <c r="AK66" s="40"/>
      <c r="AL66" s="40" t="str">
        <f t="shared" ref="AL66:AR66" si="277">AL$7</f>
        <v>NI_IR_4_NI_CE</v>
      </c>
      <c r="AM66" s="40" t="str">
        <f t="shared" si="277"/>
        <v>NI_IR 4 shared_AC_risk</v>
      </c>
      <c r="AN66" s="40" t="str">
        <f t="shared" si="277"/>
        <v>NI_IR 4 SI_AC_Risk</v>
      </c>
      <c r="AO66" s="40" t="str">
        <f t="shared" si="277"/>
        <v>SI_IR 4 NI_AC_Risk</v>
      </c>
      <c r="AP66" s="40" t="str">
        <f t="shared" si="277"/>
        <v>SI_IR 4 shared_AC_risk</v>
      </c>
      <c r="AQ66" s="40" t="str">
        <f t="shared" si="277"/>
        <v>SI_IR 4 SI_Risk</v>
      </c>
      <c r="AR66" s="40" t="str">
        <f t="shared" si="277"/>
        <v>NI_IR_4_NI_DC_CE</v>
      </c>
      <c r="AS66" s="40"/>
      <c r="AT66" s="40"/>
      <c r="AU66" s="40"/>
      <c r="AV66" s="40" t="str">
        <f t="shared" ref="AV66:BB66" si="278">AV$7</f>
        <v>NI_IR 4 NI_Risk</v>
      </c>
      <c r="AW66" s="40" t="str">
        <f t="shared" si="278"/>
        <v>NI_IR 4 shared_risk</v>
      </c>
      <c r="AX66" s="40" t="str">
        <f t="shared" si="278"/>
        <v>NI_IR 4 SI_Risk</v>
      </c>
      <c r="AY66" s="40" t="str">
        <f t="shared" si="278"/>
        <v>SI_IR 4 NI_Risk</v>
      </c>
      <c r="AZ66" s="40" t="str">
        <f t="shared" si="278"/>
        <v>SI_IR 4 shared_risk</v>
      </c>
      <c r="BA66" s="40" t="str">
        <f t="shared" si="278"/>
        <v>SI_IR 4 SI_Risk</v>
      </c>
      <c r="BB66" s="40" t="str">
        <f t="shared" si="278"/>
        <v>Tot</v>
      </c>
      <c r="BC66" s="7"/>
      <c r="BD66" s="7"/>
      <c r="BE66" s="7"/>
      <c r="BF66" s="40" t="str">
        <f t="shared" ref="BF66:BM66" si="279">BF$7</f>
        <v>NI_IR_4_NI_CE</v>
      </c>
      <c r="BG66" s="40" t="str">
        <f t="shared" si="279"/>
        <v>NI_IR 4 shared_AC_risk</v>
      </c>
      <c r="BH66" s="40" t="str">
        <f t="shared" si="279"/>
        <v>NI_IR 4 SI_AC_Risk</v>
      </c>
      <c r="BI66" s="40" t="str">
        <f t="shared" si="279"/>
        <v>SI_IR 4 NI_AC_Risk</v>
      </c>
      <c r="BJ66" s="40" t="str">
        <f t="shared" si="279"/>
        <v>SI_IR 4 shared_AC_risk</v>
      </c>
      <c r="BK66" s="40" t="str">
        <f t="shared" si="279"/>
        <v>SI_IR 4 SI_Risk</v>
      </c>
      <c r="BL66" s="40" t="str">
        <f t="shared" si="279"/>
        <v>NI_IR_4_NI_DC_CE</v>
      </c>
      <c r="BM66" s="40" t="str">
        <f t="shared" si="279"/>
        <v>Tot</v>
      </c>
      <c r="BN66" s="7"/>
      <c r="BO66" s="7"/>
      <c r="BP66" s="7"/>
      <c r="BQ66" s="7"/>
      <c r="BR66" s="2"/>
      <c r="BS66" s="2"/>
      <c r="BT66" s="2"/>
      <c r="BU66" s="2"/>
      <c r="BV66" s="6"/>
      <c r="BW66" s="2"/>
      <c r="BX66" s="2"/>
      <c r="BY66" s="2"/>
      <c r="BZ66" s="2"/>
      <c r="CA66" s="2"/>
      <c r="CB66" s="2"/>
      <c r="CC66" s="2"/>
      <c r="CD66" s="7"/>
      <c r="CE66" s="7"/>
      <c r="CF66" s="7"/>
      <c r="CG66" s="64" t="s">
        <v>259</v>
      </c>
      <c r="CH66" s="9"/>
      <c r="CI66" s="7"/>
      <c r="CJ66" s="9"/>
      <c r="CK66" s="7"/>
      <c r="CL66" s="7"/>
      <c r="CM66" s="7"/>
      <c r="CN66" s="7"/>
      <c r="CO66" s="7"/>
      <c r="CP66" s="7"/>
      <c r="CQ66" s="7"/>
      <c r="CR66" s="7"/>
      <c r="CS66" s="7"/>
      <c r="CT66" s="7"/>
      <c r="CU66" s="7"/>
      <c r="CV66" s="7"/>
      <c r="CW66" s="7"/>
      <c r="CX66" s="9"/>
      <c r="CY66" s="9"/>
      <c r="CZ66" s="9"/>
      <c r="DA66" s="9"/>
      <c r="DB66" s="9"/>
      <c r="DC66" s="9"/>
      <c r="DD66" s="9"/>
      <c r="DE66" s="9"/>
      <c r="DF66" s="9"/>
      <c r="DG66" s="9"/>
      <c r="DH66" s="9"/>
      <c r="DI66" s="9"/>
      <c r="DJ66" s="9"/>
      <c r="DK66" s="9"/>
      <c r="DL66" s="9"/>
      <c r="DM66" s="9"/>
      <c r="DN66" s="9"/>
      <c r="DO66" s="9"/>
      <c r="DP66" s="9"/>
      <c r="DQ66" s="9"/>
      <c r="DR66" s="9"/>
      <c r="DS66" s="9"/>
      <c r="DT66" s="9"/>
      <c r="DU66" s="9"/>
    </row>
    <row r="67" spans="1:125" x14ac:dyDescent="0.25">
      <c r="A67" s="1">
        <v>0</v>
      </c>
      <c r="B67" s="55">
        <f>$C$1</f>
        <v>220</v>
      </c>
      <c r="C67" s="9">
        <f>MIN(B67,$C$3-A67-ModulationRisk)</f>
        <v>220</v>
      </c>
      <c r="D67" s="14">
        <f>MAX(0,A67-Pole2_limit+ModulationRisk)</f>
        <v>0</v>
      </c>
      <c r="E67" s="55">
        <f>$C$1</f>
        <v>220</v>
      </c>
      <c r="F67" s="15">
        <f t="shared" ref="F67:F71" si="280">MIN(E67,MAX(-$B67,I67-K67),$C67)</f>
        <v>220</v>
      </c>
      <c r="G67" s="1">
        <v>10</v>
      </c>
      <c r="H67" s="1">
        <v>1</v>
      </c>
      <c r="I67" s="5">
        <f>GenUnits!$V$12</f>
        <v>400</v>
      </c>
      <c r="J67" s="5">
        <f>GenUnits!$W$12</f>
        <v>122</v>
      </c>
      <c r="K67" s="14">
        <f t="shared" ref="K67:K71" si="281">$D67</f>
        <v>0</v>
      </c>
      <c r="L67" s="14">
        <f t="shared" ref="L67:L71" si="282">MAX(I67,K67)</f>
        <v>400</v>
      </c>
      <c r="M67" s="14">
        <f t="shared" ref="M67:M71" si="283">J67</f>
        <v>122</v>
      </c>
      <c r="N67" s="34">
        <f>GenUnits!$V$11</f>
        <v>1297</v>
      </c>
      <c r="O67" s="34">
        <f>GenUnits!$W$11</f>
        <v>864</v>
      </c>
      <c r="P67" s="15">
        <f>MAX(0,K67-DeMinimis)</f>
        <v>0</v>
      </c>
      <c r="Q67" s="14">
        <f t="shared" ref="Q67:Q69" si="284">IF(AND($H67&gt;=$G67,$F67&lt;=0,$E67&gt;0),0,1)</f>
        <v>1</v>
      </c>
      <c r="S67" s="7">
        <f t="shared" ref="S67:S71" si="285">$L67-MAX($F67,0)</f>
        <v>180</v>
      </c>
      <c r="T67" s="7">
        <f>IF(F67&lt;0,MAX(0,M67-MIN($B67,S67)),MAX($M67-$C67,L67-S67))</f>
        <v>220</v>
      </c>
      <c r="U67" s="7">
        <f t="shared" ref="U67:U71" si="286">SUM(S67:T67)</f>
        <v>400</v>
      </c>
      <c r="V67" s="7">
        <f>$S67*$G67*$Q67</f>
        <v>1800</v>
      </c>
      <c r="W67" s="7">
        <f>$T67*$H67*$Q67</f>
        <v>220</v>
      </c>
      <c r="X67" s="7">
        <f t="shared" ref="X67:X71" si="287">SUM(V67:W67)</f>
        <v>2020</v>
      </c>
      <c r="Y67" s="7"/>
      <c r="Z67" s="7"/>
      <c r="AA67" s="47" t="str">
        <f>$A67&amp;" MW
["&amp;ROUND(K67,0)&amp;" MW]"</f>
        <v>0 MW
[0 MW]</v>
      </c>
      <c r="AB67" s="7">
        <f>$S67-SUM(AC67:AD67)</f>
        <v>180</v>
      </c>
      <c r="AC67" s="15">
        <f>MAX(0,MIN(B67,J67-T67))</f>
        <v>0</v>
      </c>
      <c r="AD67" s="8">
        <v>0</v>
      </c>
      <c r="AE67" s="15">
        <f>MAX(0,T67-J67)</f>
        <v>98</v>
      </c>
      <c r="AF67" s="7">
        <f>$T67-SUM(AE67,AG67)</f>
        <v>122</v>
      </c>
      <c r="AG67" s="7">
        <f>$T67-($L67-$S67)</f>
        <v>0</v>
      </c>
      <c r="AH67" s="7">
        <f t="shared" ref="AH67:AH71" si="288">SUM(AB67:AG67)</f>
        <v>400</v>
      </c>
      <c r="AI67" s="7" t="b">
        <f>$U67=AH67</f>
        <v>1</v>
      </c>
      <c r="AJ67" s="7"/>
      <c r="AK67" s="34" t="str">
        <f>AA67</f>
        <v>0 MW
[0 MW]</v>
      </c>
      <c r="AL67" s="7">
        <f>S$67</f>
        <v>180</v>
      </c>
      <c r="AM67" s="40">
        <f>$S67-SUM(AL67,AR67)</f>
        <v>0</v>
      </c>
      <c r="AN67" s="40">
        <f t="shared" ref="AN67:AN71" si="289">AD67</f>
        <v>0</v>
      </c>
      <c r="AO67" s="40">
        <f t="shared" ref="AO67:AO71" si="290">AE67</f>
        <v>98</v>
      </c>
      <c r="AP67" s="40">
        <f t="shared" ref="AP67:AP71" si="291">AF67</f>
        <v>122</v>
      </c>
      <c r="AQ67" s="40">
        <f t="shared" ref="AQ67:AQ71" si="292">AG67</f>
        <v>0</v>
      </c>
      <c r="AR67" s="7">
        <f>S67-S$67</f>
        <v>0</v>
      </c>
      <c r="AS67" s="7">
        <f>SUM(AL67:AR67)</f>
        <v>400</v>
      </c>
      <c r="AT67" s="7" t="b">
        <f>$U67=AS67</f>
        <v>1</v>
      </c>
      <c r="AU67" s="7"/>
      <c r="AV67" s="7">
        <f t="shared" ref="AV67:AX71" si="293">AB67*$G67</f>
        <v>1800</v>
      </c>
      <c r="AW67" s="7">
        <f t="shared" si="293"/>
        <v>0</v>
      </c>
      <c r="AX67" s="7">
        <f t="shared" si="293"/>
        <v>0</v>
      </c>
      <c r="AY67" s="30">
        <f t="shared" ref="AY67:BA71" si="294">AE67*$H67</f>
        <v>98</v>
      </c>
      <c r="AZ67" s="30">
        <f t="shared" si="294"/>
        <v>122</v>
      </c>
      <c r="BA67" s="30">
        <f t="shared" si="294"/>
        <v>0</v>
      </c>
      <c r="BB67" s="7">
        <f t="shared" ref="BB67:BB71" si="295">SUM(AV67:BA67)</f>
        <v>2020</v>
      </c>
      <c r="BC67" s="7" t="b">
        <f t="shared" ref="BC67:BC71" si="296">BB67=$X67</f>
        <v>1</v>
      </c>
      <c r="BD67" s="7"/>
      <c r="BE67" s="7"/>
      <c r="BF67" s="7">
        <f>AL67*$G67</f>
        <v>1800</v>
      </c>
      <c r="BG67" s="7">
        <f>AM67*$G67</f>
        <v>0</v>
      </c>
      <c r="BH67" s="7">
        <f>AN67*$G67</f>
        <v>0</v>
      </c>
      <c r="BI67" s="30">
        <f>AO67*$H67</f>
        <v>98</v>
      </c>
      <c r="BJ67" s="30">
        <f>AP67*$H67</f>
        <v>122</v>
      </c>
      <c r="BK67" s="30">
        <f>AQ67*$H67</f>
        <v>0</v>
      </c>
      <c r="BL67" s="7">
        <f>AR67*$G67</f>
        <v>0</v>
      </c>
      <c r="BM67" s="7">
        <f>SUM(BF67:BL67)</f>
        <v>2020</v>
      </c>
      <c r="BN67" s="7" t="b">
        <f t="shared" ref="BN67:BN71" si="297">BM67=$X67</f>
        <v>1</v>
      </c>
      <c r="BO67" s="7"/>
      <c r="BP67" s="7">
        <f>MATCH($A67,GenUnits!$AX$43:$AX$48,1)</f>
        <v>1</v>
      </c>
      <c r="BQ67" s="7"/>
      <c r="BR67" s="2">
        <f t="shared" ref="BR67:BT71" ca="1" si="298">IF(Pro_Or_Run="P",N67/SUM($N67:$P67),OFFSET(RunwayAlloc_TL_National,$BP67,LargeThermal_Flag*3+BR$5))</f>
        <v>0.80048951164252757</v>
      </c>
      <c r="BS67" s="2">
        <f t="shared" ca="1" si="298"/>
        <v>0.19951048835747245</v>
      </c>
      <c r="BT67" s="2">
        <f t="shared" ca="1" si="298"/>
        <v>0</v>
      </c>
      <c r="BU67" s="59">
        <f t="shared" ref="BU67:BW71" ca="1" si="299">IF(Pro_Or_Run="P",N67/SUM($N67,$P67),OFFSET(RunwayAlloc_TL_WithinIsland,$BP67,LargeThermal_Flag*3+BU$5))</f>
        <v>1</v>
      </c>
      <c r="BV67" s="59">
        <f t="shared" ca="1" si="299"/>
        <v>1</v>
      </c>
      <c r="BW67" s="59">
        <f t="shared" ca="1" si="299"/>
        <v>0</v>
      </c>
      <c r="BX67" s="2">
        <f>C67/U67</f>
        <v>0.55000000000000004</v>
      </c>
      <c r="BY67" s="2">
        <f>SUM(AC67,AG67)/J67</f>
        <v>0</v>
      </c>
      <c r="BZ67" s="60">
        <f t="shared" ref="BZ67:CA71" ca="1" si="300">IF(Pro_Or_Run="P",N67/SUM($N67:$O67),BR67/SUM($BR67:$BS67))</f>
        <v>0.80048951164252757</v>
      </c>
      <c r="CA67" s="60">
        <f t="shared" ca="1" si="300"/>
        <v>0.19951048835747245</v>
      </c>
      <c r="CB67" s="52">
        <v>0</v>
      </c>
      <c r="CC67" s="2"/>
      <c r="CD67" t="str">
        <f>"SI IR price = $"&amp;$H67&amp;"/MW/h, 
NI IR price = $"&amp;$G67&amp;"/MW/h"</f>
        <v>SI IR price = $1/MW/h, 
NI IR price = $10/MW/h</v>
      </c>
      <c r="CE67" s="7"/>
      <c r="CF67" s="7"/>
      <c r="CG67" s="7" t="str">
        <f>AA67</f>
        <v>0 MW
[0 MW]</v>
      </c>
      <c r="CH67" s="9">
        <f t="shared" ref="CH67:CH71" si="301">$V67-CJ67</f>
        <v>1800</v>
      </c>
      <c r="CI67" s="7">
        <f t="shared" ref="CI67:CI71" si="302">$W67</f>
        <v>220</v>
      </c>
      <c r="CJ67" s="9">
        <f>$V67*$P67/SUM($N67,$P67)</f>
        <v>0</v>
      </c>
      <c r="CK67" s="7">
        <f t="shared" ref="CK67:CK71" ca="1" si="303">$X67*BR67</f>
        <v>1616.9888135179058</v>
      </c>
      <c r="CL67" s="7">
        <f t="shared" ref="CL67:CL71" ca="1" si="304">$X67*BS67</f>
        <v>403.01118648209433</v>
      </c>
      <c r="CM67" s="7">
        <f t="shared" ref="CM67:CM71" ca="1" si="305">$X67*BT67</f>
        <v>0</v>
      </c>
      <c r="CN67" s="7">
        <f t="shared" ref="CN67:CP71" ca="1" si="306">$X67*$BX67*BR67+$X67*(1-$BX67)*CH67/SUM($CH67:$CJ67)</f>
        <v>1699.3438474348482</v>
      </c>
      <c r="CO67" s="7">
        <f t="shared" ca="1" si="306"/>
        <v>320.6561525651519</v>
      </c>
      <c r="CP67" s="7">
        <f t="shared" ca="1" si="306"/>
        <v>0</v>
      </c>
      <c r="CQ67" s="7">
        <f t="array" aca="1" ref="CQ67" ca="1">(SUM(IF($AV$5:$BA$5=CQ$5,$AV67:$BA67))*BU67+SUM(IF($AV$5:$BA$5="B",$AV67:$BA67))*BR67)*$Q67</f>
        <v>1995.6597204203883</v>
      </c>
      <c r="CR67" s="7">
        <f t="array" aca="1" ref="CR67" ca="1">(SUM(IF($AV$5:$BA$5=CR$5,$AV67:$BA67))*BV67+SUM(IF($AV$5:$BA$5="B",$AV67:$BA67))*BS67)*$Q67</f>
        <v>24.340279579611639</v>
      </c>
      <c r="CS67" s="7">
        <f t="array" aca="1" ref="CS67" ca="1">(SUM(IF($AV$5:$BA$5=CS$5,$AV67:$BA67))*BW67+SUM(IF($AV$5:$BA$5="B",$AV67:$BA67))*BT67)*$Q67</f>
        <v>0</v>
      </c>
      <c r="CT67" s="7">
        <f t="array" aca="1" ref="CT67" ca="1">(SUM(IF($BF$5:$BL$5=CT$5,IF($BF$4:$BL$4="B",$BF67:$BL67)))*BU67+SUM(IF($BF$5:$BL$5=CT$5,IF($BF$4:$BL$4=CT$4,$BF67:$BL67)))+SUM(IF($BF$5:$BL$5="B",$BF67:$BL67))*BZ67)*$Q67</f>
        <v>1995.6597204203883</v>
      </c>
      <c r="CU67" s="7">
        <f t="array" aca="1" ref="CU67" ca="1">(SUM(IF($BF$5:$BL$5=CU$5,IF($BF$4:$BL$4="B",$BF67:$BL67)))*BV67+SUM(IF($BF$5:$BL$5=CU$5,IF($BF$4:$BL$4=CU$4,$BF67:$BL67)))+SUM(IF($BF$5:$BL$5="B",$BF67:$BL67))*CA67)*$Q67</f>
        <v>24.340279579611639</v>
      </c>
      <c r="CV67" s="7">
        <f t="array" aca="1" ref="CV67" ca="1">(SUM(IF($BF$5:$BL$5=CV$5,IF($BF$4:$BL$4="B",$BF67:$BL67)))*BW67+SUM(IF($BF$5:$BL$5=CV$5,IF($BF$4:$BL$4=CV$4,$BF67:$BL67)))+SUM(IF($BF$5:$BL$5="B",$BF67:$BL67))*CB67)*$Q67</f>
        <v>0</v>
      </c>
      <c r="CW67" s="7"/>
      <c r="CX67" s="9">
        <f t="shared" ref="CX67:CX71" si="307">$V67</f>
        <v>1800</v>
      </c>
      <c r="CY67" s="9">
        <f t="shared" ref="CY67:CY71" si="308">-CH67</f>
        <v>-1800</v>
      </c>
      <c r="CZ67" s="9">
        <f t="shared" ref="CZ67:CZ71" si="309">SUM(CX67:CY67)</f>
        <v>0</v>
      </c>
      <c r="DA67" s="9">
        <f t="shared" ref="DA67:DA71" si="310">$W67</f>
        <v>220</v>
      </c>
      <c r="DB67" s="9">
        <f t="shared" ref="DB67:DB71" si="311">-SUM(CI67:CJ67)</f>
        <v>-220</v>
      </c>
      <c r="DC67" s="9">
        <f t="shared" ref="DC67:DC71" si="312">SUM(DA67:DB67)</f>
        <v>0</v>
      </c>
      <c r="DD67" s="9">
        <f t="shared" ref="DD67:DD71" si="313">$V67</f>
        <v>1800</v>
      </c>
      <c r="DE67" s="9">
        <f ca="1">-$CK67</f>
        <v>-1616.9888135179058</v>
      </c>
      <c r="DF67" s="9">
        <f t="shared" ref="DF67:DF71" ca="1" si="314">SUM(DD67:DE67)</f>
        <v>183.01118648209422</v>
      </c>
      <c r="DG67" s="9">
        <f t="shared" ref="DG67:DG71" si="315">$W67</f>
        <v>220</v>
      </c>
      <c r="DH67" s="9">
        <f t="shared" ref="DH67:DH71" ca="1" si="316">-SUM(CL67:CM67)</f>
        <v>-403.01118648209433</v>
      </c>
      <c r="DI67" s="9">
        <f t="shared" ref="DI67:DI71" ca="1" si="317">SUM(DG67:DH67)</f>
        <v>-183.01118648209433</v>
      </c>
      <c r="DJ67" s="9">
        <f t="shared" ref="DJ67:DJ71" si="318">$V67</f>
        <v>1800</v>
      </c>
      <c r="DK67" s="9">
        <f ca="1">-$CN67</f>
        <v>-1699.3438474348482</v>
      </c>
      <c r="DL67" s="9">
        <f t="shared" ref="DL67:DL71" ca="1" si="319">SUM(DJ67:DK67)</f>
        <v>100.65615256515184</v>
      </c>
      <c r="DM67" s="9">
        <f t="shared" ref="DM67:DM71" si="320">$W67</f>
        <v>220</v>
      </c>
      <c r="DN67" s="9">
        <f ca="1">-SUM($CO67:$CP67)</f>
        <v>-320.6561525651519</v>
      </c>
      <c r="DO67" s="9">
        <f t="shared" ref="DO67:DO71" ca="1" si="321">SUM(DM67:DN67)</f>
        <v>-100.6561525651519</v>
      </c>
      <c r="DP67" s="9">
        <f t="shared" ref="DP67:DP71" si="322">$V67</f>
        <v>1800</v>
      </c>
      <c r="DQ67" s="9">
        <f ca="1">-$CQ67</f>
        <v>-1995.6597204203883</v>
      </c>
      <c r="DR67" s="9">
        <f t="shared" ref="DR67:DR71" ca="1" si="323">SUM(DP67:DQ67)</f>
        <v>-195.65972042038834</v>
      </c>
      <c r="DS67" s="9">
        <f t="shared" ref="DS67:DS71" si="324">$W67</f>
        <v>220</v>
      </c>
      <c r="DT67" s="9">
        <f ca="1">-SUM($CR67:$CS67)</f>
        <v>-24.340279579611639</v>
      </c>
      <c r="DU67" s="9">
        <f t="shared" ref="DU67:DU71" ca="1" si="325">SUM(DS67:DT67)</f>
        <v>195.65972042038837</v>
      </c>
    </row>
    <row r="68" spans="1:125" x14ac:dyDescent="0.25">
      <c r="A68" s="1">
        <v>700</v>
      </c>
      <c r="B68" s="14">
        <f>B67</f>
        <v>220</v>
      </c>
      <c r="C68" s="9">
        <f>MIN(B68,$C$3-A68-ModulationRisk)</f>
        <v>220</v>
      </c>
      <c r="D68" s="14">
        <f>MAX(0,A68-Pole2_limit+ModulationRisk)</f>
        <v>202</v>
      </c>
      <c r="E68" s="15">
        <f>E67</f>
        <v>220</v>
      </c>
      <c r="F68" s="15">
        <f t="shared" si="280"/>
        <v>198</v>
      </c>
      <c r="G68">
        <f>G$67</f>
        <v>10</v>
      </c>
      <c r="H68">
        <f>H$67</f>
        <v>1</v>
      </c>
      <c r="I68" s="5">
        <f>GenUnits!$V$12</f>
        <v>400</v>
      </c>
      <c r="J68" s="5">
        <f>GenUnits!$W$12</f>
        <v>122</v>
      </c>
      <c r="K68" s="14">
        <f t="shared" si="281"/>
        <v>202</v>
      </c>
      <c r="L68" s="14">
        <f t="shared" si="282"/>
        <v>400</v>
      </c>
      <c r="M68" s="14">
        <f t="shared" si="283"/>
        <v>122</v>
      </c>
      <c r="N68" s="34">
        <f>GenUnits!$V$11</f>
        <v>1297</v>
      </c>
      <c r="O68" s="34">
        <f>GenUnits!$W$11</f>
        <v>864</v>
      </c>
      <c r="P68" s="15">
        <f>MAX(0,K68-DeMinimis)</f>
        <v>142</v>
      </c>
      <c r="Q68" s="14">
        <f t="shared" si="284"/>
        <v>1</v>
      </c>
      <c r="S68" s="7">
        <f t="shared" si="285"/>
        <v>202</v>
      </c>
      <c r="T68" s="7">
        <f>IF(F68&lt;0,MAX(0,M68-MIN($B68,S68)),MAX($M68-$C68,L68-S68))</f>
        <v>198</v>
      </c>
      <c r="U68" s="7">
        <f t="shared" si="286"/>
        <v>400</v>
      </c>
      <c r="V68" s="7">
        <f>$S68*$G68*$Q68</f>
        <v>2020</v>
      </c>
      <c r="W68" s="7">
        <f>$T68*$H68*$Q68</f>
        <v>198</v>
      </c>
      <c r="X68" s="7">
        <f t="shared" si="287"/>
        <v>2218</v>
      </c>
      <c r="Y68" s="7"/>
      <c r="Z68" s="7"/>
      <c r="AA68" s="47" t="str">
        <f>$A68&amp;" MW
["&amp;ROUND(K68,0)&amp;" MW]"</f>
        <v>700 MW
[202 MW]</v>
      </c>
      <c r="AB68" s="7">
        <f t="shared" ref="AB68:AB71" si="326">$S68-SUM(AC68:AD68)</f>
        <v>202</v>
      </c>
      <c r="AC68" s="15">
        <f>MAX(0,MIN(B68,J68-T68))</f>
        <v>0</v>
      </c>
      <c r="AD68" s="8">
        <v>0</v>
      </c>
      <c r="AE68" s="15">
        <f>MAX(0,T68-J68)</f>
        <v>76</v>
      </c>
      <c r="AF68" s="7">
        <f t="shared" ref="AF68:AF71" si="327">$T68-SUM(AE68,AG68)</f>
        <v>122</v>
      </c>
      <c r="AG68" s="7">
        <f>$T68-($L68-$S68)</f>
        <v>0</v>
      </c>
      <c r="AH68" s="7">
        <f t="shared" si="288"/>
        <v>400</v>
      </c>
      <c r="AI68" s="7" t="b">
        <f t="shared" ref="AI68:AI71" si="328">$U68=AH68</f>
        <v>1</v>
      </c>
      <c r="AJ68" s="7"/>
      <c r="AK68" s="34" t="str">
        <f t="shared" ref="AK68:AK71" si="329">AA68</f>
        <v>700 MW
[202 MW]</v>
      </c>
      <c r="AL68" s="7">
        <f t="shared" ref="AL68:AL71" si="330">S$67</f>
        <v>180</v>
      </c>
      <c r="AM68" s="40">
        <f t="shared" ref="AM68:AM71" si="331">$S68-SUM(AL68,AR68)</f>
        <v>0</v>
      </c>
      <c r="AN68" s="40">
        <f t="shared" si="289"/>
        <v>0</v>
      </c>
      <c r="AO68" s="40">
        <f t="shared" si="290"/>
        <v>76</v>
      </c>
      <c r="AP68" s="40">
        <f t="shared" si="291"/>
        <v>122</v>
      </c>
      <c r="AQ68" s="40">
        <f t="shared" si="292"/>
        <v>0</v>
      </c>
      <c r="AR68" s="7">
        <f t="shared" ref="AR68:AR71" si="332">S68-S$67</f>
        <v>22</v>
      </c>
      <c r="AS68" s="7">
        <f t="shared" ref="AS68:AS71" si="333">SUM(AL68:AR68)</f>
        <v>400</v>
      </c>
      <c r="AT68" s="7" t="b">
        <f t="shared" ref="AT68:AT71" si="334">$U68=AS68</f>
        <v>1</v>
      </c>
      <c r="AU68" s="7"/>
      <c r="AV68" s="7">
        <f t="shared" si="293"/>
        <v>2020</v>
      </c>
      <c r="AW68" s="7">
        <f t="shared" si="293"/>
        <v>0</v>
      </c>
      <c r="AX68" s="7">
        <f t="shared" si="293"/>
        <v>0</v>
      </c>
      <c r="AY68" s="30">
        <f t="shared" si="294"/>
        <v>76</v>
      </c>
      <c r="AZ68" s="30">
        <f t="shared" si="294"/>
        <v>122</v>
      </c>
      <c r="BA68" s="30">
        <f t="shared" si="294"/>
        <v>0</v>
      </c>
      <c r="BB68" s="7">
        <f t="shared" si="295"/>
        <v>2218</v>
      </c>
      <c r="BC68" s="7" t="b">
        <f t="shared" si="296"/>
        <v>1</v>
      </c>
      <c r="BD68" s="7"/>
      <c r="BE68" s="7"/>
      <c r="BF68" s="7">
        <f t="shared" ref="BF68:BF71" si="335">AL68*$G68</f>
        <v>1800</v>
      </c>
      <c r="BG68" s="7">
        <f t="shared" ref="BG68:BG71" si="336">AM68*$G68</f>
        <v>0</v>
      </c>
      <c r="BH68" s="7">
        <f t="shared" ref="BH68:BH71" si="337">AN68*$G68</f>
        <v>0</v>
      </c>
      <c r="BI68" s="30">
        <f t="shared" ref="BI68:BI71" si="338">AO68*$H68</f>
        <v>76</v>
      </c>
      <c r="BJ68" s="30">
        <f t="shared" ref="BJ68:BJ71" si="339">AP68*$H68</f>
        <v>122</v>
      </c>
      <c r="BK68" s="30">
        <f t="shared" ref="BK68:BK71" si="340">AQ68*$H68</f>
        <v>0</v>
      </c>
      <c r="BL68" s="7">
        <f t="shared" ref="BL68:BL71" si="341">AR68*$G68</f>
        <v>220</v>
      </c>
      <c r="BM68" s="7">
        <f t="shared" ref="BM68:BM71" si="342">SUM(BF68:BL68)</f>
        <v>2218</v>
      </c>
      <c r="BN68" s="7" t="b">
        <f t="shared" si="297"/>
        <v>1</v>
      </c>
      <c r="BO68" s="7"/>
      <c r="BP68" s="7">
        <f>MATCH($A68,GenUnits!$AX$43:$AX$48,1)</f>
        <v>3</v>
      </c>
      <c r="BQ68" s="7"/>
      <c r="BR68" s="2">
        <f t="shared" ca="1" si="298"/>
        <v>0.75755031938333606</v>
      </c>
      <c r="BS68" s="2">
        <f t="shared" ca="1" si="298"/>
        <v>0.19182986842379629</v>
      </c>
      <c r="BT68" s="2">
        <f t="shared" ca="1" si="298"/>
        <v>5.0619812192867632E-2</v>
      </c>
      <c r="BU68" s="59">
        <f t="shared" ca="1" si="299"/>
        <v>0.93736490595842492</v>
      </c>
      <c r="BV68" s="59">
        <f t="shared" ca="1" si="299"/>
        <v>1</v>
      </c>
      <c r="BW68" s="59">
        <f t="shared" ca="1" si="299"/>
        <v>6.2635094041575093E-2</v>
      </c>
      <c r="BX68" s="2">
        <f>C68/U68</f>
        <v>0.55000000000000004</v>
      </c>
      <c r="BY68" s="2">
        <f>SUM(AC68,AG68)/J68</f>
        <v>0</v>
      </c>
      <c r="BZ68" s="60">
        <f t="shared" ca="1" si="300"/>
        <v>0.79794199322098469</v>
      </c>
      <c r="CA68" s="60">
        <f t="shared" ca="1" si="300"/>
        <v>0.2020580067790152</v>
      </c>
      <c r="CB68" s="52">
        <v>0</v>
      </c>
      <c r="CC68" s="2"/>
      <c r="CD68" s="7"/>
      <c r="CE68" s="7"/>
      <c r="CF68" s="7"/>
      <c r="CG68" s="7" t="str">
        <f>AA68</f>
        <v>700 MW
[202 MW]</v>
      </c>
      <c r="CH68" s="9">
        <f t="shared" si="301"/>
        <v>1820.667129951355</v>
      </c>
      <c r="CI68" s="7">
        <f t="shared" si="302"/>
        <v>198</v>
      </c>
      <c r="CJ68" s="9">
        <f>$V68*$P68/SUM($N68,$P68)</f>
        <v>199.33287004864488</v>
      </c>
      <c r="CK68" s="7">
        <f t="shared" ca="1" si="303"/>
        <v>1680.2466083922393</v>
      </c>
      <c r="CL68" s="7">
        <f t="shared" ca="1" si="304"/>
        <v>425.47864816398015</v>
      </c>
      <c r="CM68" s="7">
        <f t="shared" ca="1" si="305"/>
        <v>112.27474344378041</v>
      </c>
      <c r="CN68" s="7">
        <f t="shared" ca="1" si="306"/>
        <v>1743.4358430938414</v>
      </c>
      <c r="CO68" s="7">
        <f t="shared" ca="1" si="306"/>
        <v>323.11325649018909</v>
      </c>
      <c r="CP68" s="7">
        <f t="shared" ca="1" si="306"/>
        <v>151.45090041596941</v>
      </c>
      <c r="CQ68" s="7">
        <f t="array" aca="1" ref="CQ68" ca="1">(SUM(IF($AV$5:$BA$5=CQ$5,$AV68:$BA68))*BU68+SUM(IF($AV$5:$BA$5="B",$AV68:$BA68))*BR68)*$Q68</f>
        <v>2057.1379818536257</v>
      </c>
      <c r="CR68" s="7">
        <f t="array" aca="1" ref="CR68" ca="1">(SUM(IF($AV$5:$BA$5=CR$5,$AV68:$BA68))*BV68+SUM(IF($AV$5:$BA$5="B",$AV68:$BA68))*BS68)*$Q68</f>
        <v>23.403243947703146</v>
      </c>
      <c r="CS68" s="7">
        <f t="array" aca="1" ref="CS68" ca="1">(SUM(IF($AV$5:$BA$5=CS$5,$AV68:$BA68))*BW68+SUM(IF($AV$5:$BA$5="B",$AV68:$BA68))*BT68)*$Q68</f>
        <v>137.45877419867125</v>
      </c>
      <c r="CT68" s="7">
        <f t="array" aca="1" ref="CT68" ca="1">(SUM(IF($BF$5:$BL$5=CT$5,IF($BF$4:$BL$4="B",$BF68:$BL68)))*BU68+SUM(IF($BF$5:$BL$5=CT$5,IF($BF$4:$BL$4=CT$4,$BF68:$BL68)))+SUM(IF($BF$5:$BL$5="B",$BF68:$BL68))*BZ68)*$Q68</f>
        <v>1860.6057538981252</v>
      </c>
      <c r="CU68" s="7">
        <f t="array" aca="1" ref="CU68" ca="1">(SUM(IF($BF$5:$BL$5=CU$5,IF($BF$4:$BL$4="B",$BF68:$BL68)))*BV68+SUM(IF($BF$5:$BL$5=CU$5,IF($BF$4:$BL$4=CU$4,$BF68:$BL68)))+SUM(IF($BF$5:$BL$5="B",$BF68:$BL68))*CA68)*$Q68</f>
        <v>24.651076827039855</v>
      </c>
      <c r="CV68" s="7">
        <f t="array" aca="1" ref="CV68" ca="1">(SUM(IF($BF$5:$BL$5=CV$5,IF($BF$4:$BL$4="B",$BF68:$BL68)))*BW68+SUM(IF($BF$5:$BL$5=CV$5,IF($BF$4:$BL$4=CV$4,$BF68:$BL68)))+SUM(IF($BF$5:$BL$5="B",$BF68:$BL68))*CB68)*$Q68</f>
        <v>332.74316927483517</v>
      </c>
      <c r="CW68" s="7"/>
      <c r="CX68" s="9">
        <f t="shared" si="307"/>
        <v>2020</v>
      </c>
      <c r="CY68" s="9">
        <f t="shared" si="308"/>
        <v>-1820.667129951355</v>
      </c>
      <c r="CZ68" s="9">
        <f t="shared" si="309"/>
        <v>199.33287004864496</v>
      </c>
      <c r="DA68" s="9">
        <f t="shared" si="310"/>
        <v>198</v>
      </c>
      <c r="DB68" s="9">
        <f t="shared" si="311"/>
        <v>-397.33287004864485</v>
      </c>
      <c r="DC68" s="9">
        <f t="shared" si="312"/>
        <v>-199.33287004864485</v>
      </c>
      <c r="DD68" s="9">
        <f t="shared" si="313"/>
        <v>2020</v>
      </c>
      <c r="DE68" s="9">
        <f ca="1">-$CK68</f>
        <v>-1680.2466083922393</v>
      </c>
      <c r="DF68" s="9">
        <f t="shared" ca="1" si="314"/>
        <v>339.7533916077607</v>
      </c>
      <c r="DG68" s="9">
        <f t="shared" si="315"/>
        <v>198</v>
      </c>
      <c r="DH68" s="9">
        <f t="shared" ca="1" si="316"/>
        <v>-537.75339160776059</v>
      </c>
      <c r="DI68" s="9">
        <f t="shared" ca="1" si="317"/>
        <v>-339.75339160776059</v>
      </c>
      <c r="DJ68" s="9">
        <f t="shared" si="318"/>
        <v>2020</v>
      </c>
      <c r="DK68" s="9">
        <f ca="1">-$CN68</f>
        <v>-1743.4358430938414</v>
      </c>
      <c r="DL68" s="9">
        <f t="shared" ca="1" si="319"/>
        <v>276.56415690615859</v>
      </c>
      <c r="DM68" s="9">
        <f t="shared" si="320"/>
        <v>198</v>
      </c>
      <c r="DN68" s="9">
        <f ca="1">-SUM($CO68:$CP68)</f>
        <v>-474.56415690615847</v>
      </c>
      <c r="DO68" s="9">
        <f t="shared" ca="1" si="321"/>
        <v>-276.56415690615847</v>
      </c>
      <c r="DP68" s="9">
        <f t="shared" si="322"/>
        <v>2020</v>
      </c>
      <c r="DQ68" s="9">
        <f ca="1">-$CQ68</f>
        <v>-2057.1379818536257</v>
      </c>
      <c r="DR68" s="9">
        <f t="shared" ca="1" si="323"/>
        <v>-37.137981853625661</v>
      </c>
      <c r="DS68" s="9">
        <f t="shared" si="324"/>
        <v>198</v>
      </c>
      <c r="DT68" s="9">
        <f ca="1">-SUM($CR68:$CS68)</f>
        <v>-160.8620181463744</v>
      </c>
      <c r="DU68" s="9">
        <f t="shared" ca="1" si="325"/>
        <v>37.137981853625604</v>
      </c>
    </row>
    <row r="69" spans="1:125" x14ac:dyDescent="0.25">
      <c r="A69" s="1">
        <v>800</v>
      </c>
      <c r="B69" s="14">
        <f t="shared" ref="B69:B71" si="343">B68</f>
        <v>220</v>
      </c>
      <c r="C69" s="9">
        <f>MIN(B69,$C$3-A69-ModulationRisk)</f>
        <v>220</v>
      </c>
      <c r="D69" s="14">
        <f>MAX(0,A69-Pole2_limit+ModulationRisk)</f>
        <v>302</v>
      </c>
      <c r="E69" s="15">
        <f>E68</f>
        <v>220</v>
      </c>
      <c r="F69" s="15">
        <f t="shared" si="280"/>
        <v>98</v>
      </c>
      <c r="G69">
        <f t="shared" ref="G69:H71" si="344">G$67</f>
        <v>10</v>
      </c>
      <c r="H69">
        <f t="shared" si="344"/>
        <v>1</v>
      </c>
      <c r="I69" s="5">
        <f>GenUnits!$V$12</f>
        <v>400</v>
      </c>
      <c r="J69" s="5">
        <f>GenUnits!$W$12</f>
        <v>122</v>
      </c>
      <c r="K69" s="14">
        <f t="shared" si="281"/>
        <v>302</v>
      </c>
      <c r="L69" s="14">
        <f t="shared" si="282"/>
        <v>400</v>
      </c>
      <c r="M69" s="14">
        <f t="shared" si="283"/>
        <v>122</v>
      </c>
      <c r="N69" s="34">
        <f>GenUnits!$V$11</f>
        <v>1297</v>
      </c>
      <c r="O69" s="34">
        <f>GenUnits!$W$11</f>
        <v>864</v>
      </c>
      <c r="P69" s="15">
        <f>MAX(0,K69-DeMinimis)</f>
        <v>242</v>
      </c>
      <c r="Q69" s="14">
        <f t="shared" si="284"/>
        <v>1</v>
      </c>
      <c r="S69" s="7">
        <f t="shared" si="285"/>
        <v>302</v>
      </c>
      <c r="T69" s="7">
        <f>IF(F69&lt;0,MAX(0,M69-MIN($B69,S69)),MAX($M69-$C69,L69-S69))</f>
        <v>98</v>
      </c>
      <c r="U69" s="7">
        <f t="shared" si="286"/>
        <v>400</v>
      </c>
      <c r="V69" s="7">
        <f>$S69*$G69*$Q69</f>
        <v>3020</v>
      </c>
      <c r="W69" s="7">
        <f>$T69*$H69*$Q69</f>
        <v>98</v>
      </c>
      <c r="X69" s="7">
        <f t="shared" si="287"/>
        <v>3118</v>
      </c>
      <c r="Y69" s="7"/>
      <c r="Z69" s="7"/>
      <c r="AA69" s="47" t="str">
        <f>$A69&amp;" MW
["&amp;ROUND(K69,0)&amp;" MW]"</f>
        <v>800 MW
[302 MW]</v>
      </c>
      <c r="AB69" s="7">
        <f t="shared" si="326"/>
        <v>278</v>
      </c>
      <c r="AC69" s="15">
        <f>MAX(0,MIN(B69,J69-T69))</f>
        <v>24</v>
      </c>
      <c r="AD69" s="8">
        <v>0</v>
      </c>
      <c r="AE69" s="15">
        <f>MAX(0,T69-J69)</f>
        <v>0</v>
      </c>
      <c r="AF69" s="7">
        <f t="shared" si="327"/>
        <v>98</v>
      </c>
      <c r="AG69" s="7">
        <f>$T69-($L69-$S69)</f>
        <v>0</v>
      </c>
      <c r="AH69" s="7">
        <f t="shared" si="288"/>
        <v>400</v>
      </c>
      <c r="AI69" s="7" t="b">
        <f t="shared" si="328"/>
        <v>1</v>
      </c>
      <c r="AJ69" s="7"/>
      <c r="AK69" s="34" t="str">
        <f t="shared" si="329"/>
        <v>800 MW
[302 MW]</v>
      </c>
      <c r="AL69" s="7">
        <f t="shared" si="330"/>
        <v>180</v>
      </c>
      <c r="AM69" s="40">
        <f t="shared" si="331"/>
        <v>0</v>
      </c>
      <c r="AN69" s="40">
        <f t="shared" si="289"/>
        <v>0</v>
      </c>
      <c r="AO69" s="40">
        <f t="shared" si="290"/>
        <v>0</v>
      </c>
      <c r="AP69" s="40">
        <f t="shared" si="291"/>
        <v>98</v>
      </c>
      <c r="AQ69" s="40">
        <f t="shared" si="292"/>
        <v>0</v>
      </c>
      <c r="AR69" s="7">
        <f t="shared" si="332"/>
        <v>122</v>
      </c>
      <c r="AS69" s="7">
        <f t="shared" si="333"/>
        <v>400</v>
      </c>
      <c r="AT69" s="7" t="b">
        <f t="shared" si="334"/>
        <v>1</v>
      </c>
      <c r="AU69" s="7"/>
      <c r="AV69" s="7">
        <f t="shared" si="293"/>
        <v>2780</v>
      </c>
      <c r="AW69" s="7">
        <f t="shared" si="293"/>
        <v>240</v>
      </c>
      <c r="AX69" s="7">
        <f t="shared" si="293"/>
        <v>0</v>
      </c>
      <c r="AY69" s="30">
        <f t="shared" si="294"/>
        <v>0</v>
      </c>
      <c r="AZ69" s="30">
        <f t="shared" si="294"/>
        <v>98</v>
      </c>
      <c r="BA69" s="30">
        <f t="shared" si="294"/>
        <v>0</v>
      </c>
      <c r="BB69" s="7">
        <f t="shared" si="295"/>
        <v>3118</v>
      </c>
      <c r="BC69" s="7" t="b">
        <f t="shared" si="296"/>
        <v>1</v>
      </c>
      <c r="BD69" s="7"/>
      <c r="BE69" s="7"/>
      <c r="BF69" s="7">
        <f t="shared" si="335"/>
        <v>1800</v>
      </c>
      <c r="BG69" s="7">
        <f t="shared" si="336"/>
        <v>0</v>
      </c>
      <c r="BH69" s="7">
        <f t="shared" si="337"/>
        <v>0</v>
      </c>
      <c r="BI69" s="30">
        <f t="shared" si="338"/>
        <v>0</v>
      </c>
      <c r="BJ69" s="30">
        <f t="shared" si="339"/>
        <v>98</v>
      </c>
      <c r="BK69" s="30">
        <f t="shared" si="340"/>
        <v>0</v>
      </c>
      <c r="BL69" s="7">
        <f t="shared" si="341"/>
        <v>1220</v>
      </c>
      <c r="BM69" s="7">
        <f t="shared" si="342"/>
        <v>3118</v>
      </c>
      <c r="BN69" s="7" t="b">
        <f t="shared" si="297"/>
        <v>1</v>
      </c>
      <c r="BO69" s="7"/>
      <c r="BP69" s="7">
        <f>MATCH($A69,GenUnits!$AX$43:$AX$48,1)</f>
        <v>4</v>
      </c>
      <c r="BQ69" s="7"/>
      <c r="BR69" s="2">
        <f t="shared" ca="1" si="298"/>
        <v>0.6902169860500027</v>
      </c>
      <c r="BS69" s="2">
        <f t="shared" ca="1" si="298"/>
        <v>0.19182986842379629</v>
      </c>
      <c r="BT69" s="2">
        <f t="shared" ca="1" si="298"/>
        <v>0.11795314552620097</v>
      </c>
      <c r="BU69" s="59">
        <f t="shared" ca="1" si="299"/>
        <v>0.85404911550473583</v>
      </c>
      <c r="BV69" s="59">
        <f t="shared" ca="1" si="299"/>
        <v>1</v>
      </c>
      <c r="BW69" s="59">
        <f t="shared" ca="1" si="299"/>
        <v>0.14595088449526419</v>
      </c>
      <c r="BX69" s="2">
        <f>C69/U69</f>
        <v>0.55000000000000004</v>
      </c>
      <c r="BY69" s="2">
        <f>SUM(AC69,AG69)/J69</f>
        <v>0.19672131147540983</v>
      </c>
      <c r="BZ69" s="60">
        <f t="shared" ca="1" si="300"/>
        <v>0.78251737144027811</v>
      </c>
      <c r="CA69" s="60">
        <f t="shared" ca="1" si="300"/>
        <v>0.21748262855972189</v>
      </c>
      <c r="CB69" s="52">
        <v>0</v>
      </c>
      <c r="CC69" s="2"/>
      <c r="CD69" s="7"/>
      <c r="CE69" s="7"/>
      <c r="CF69" s="7"/>
      <c r="CG69" s="7" t="str">
        <f>AA69</f>
        <v>800 MW
[302 MW]</v>
      </c>
      <c r="CH69" s="9">
        <f t="shared" si="301"/>
        <v>2545.1202079272252</v>
      </c>
      <c r="CI69" s="7">
        <f t="shared" si="302"/>
        <v>98</v>
      </c>
      <c r="CJ69" s="9">
        <f>$V69*$P69/SUM($N69,$P69)</f>
        <v>474.87979207277453</v>
      </c>
      <c r="CK69" s="7">
        <f t="shared" ca="1" si="303"/>
        <v>2152.0965625039084</v>
      </c>
      <c r="CL69" s="7">
        <f t="shared" ca="1" si="304"/>
        <v>598.12552974539688</v>
      </c>
      <c r="CM69" s="7">
        <f t="shared" ca="1" si="305"/>
        <v>367.77790775069462</v>
      </c>
      <c r="CN69" s="7">
        <f t="shared" ca="1" si="306"/>
        <v>2328.9572029444012</v>
      </c>
      <c r="CO69" s="7">
        <f t="shared" ca="1" si="306"/>
        <v>373.06904135996831</v>
      </c>
      <c r="CP69" s="7">
        <f t="shared" ca="1" si="306"/>
        <v>415.97375569563059</v>
      </c>
      <c r="CQ69" s="7">
        <f t="array" aca="1" ref="CQ69" ca="1">(SUM(IF($AV$5:$BA$5=CQ$5,$AV69:$BA69))*BU69+SUM(IF($AV$5:$BA$5="B",$AV69:$BA69))*BR69)*$Q69</f>
        <v>2607.5498823880666</v>
      </c>
      <c r="CR69" s="7">
        <f t="array" aca="1" ref="CR69" ca="1">(SUM(IF($AV$5:$BA$5=CR$5,$AV69:$BA69))*BV69+SUM(IF($AV$5:$BA$5="B",$AV69:$BA69))*BS69)*$Q69</f>
        <v>64.83849552724314</v>
      </c>
      <c r="CS69" s="7">
        <f t="array" aca="1" ref="CS69" ca="1">(SUM(IF($AV$5:$BA$5=CS$5,$AV69:$BA69))*BW69+SUM(IF($AV$5:$BA$5="B",$AV69:$BA69))*BT69)*$Q69</f>
        <v>445.6116220846904</v>
      </c>
      <c r="CT69" s="7">
        <f t="array" aca="1" ref="CT69" ca="1">(SUM(IF($BF$5:$BL$5=CT$5,IF($BF$4:$BL$4="B",$BF69:$BL69)))*BU69+SUM(IF($BF$5:$BL$5=CT$5,IF($BF$4:$BL$4=CT$4,$BF69:$BL69)))+SUM(IF($BF$5:$BL$5="B",$BF69:$BL69))*BZ69)*$Q69</f>
        <v>1613.9751103096717</v>
      </c>
      <c r="CU69" s="7">
        <f t="array" aca="1" ref="CU69" ca="1">(SUM(IF($BF$5:$BL$5=CU$5,IF($BF$4:$BL$4="B",$BF69:$BL69)))*BV69+SUM(IF($BF$5:$BL$5=CU$5,IF($BF$4:$BL$4=CU$4,$BF69:$BL69)))+SUM(IF($BF$5:$BL$5="B",$BF69:$BL69))*CA69)*$Q69</f>
        <v>21.313297598852746</v>
      </c>
      <c r="CV69" s="7">
        <f t="array" aca="1" ref="CV69" ca="1">(SUM(IF($BF$5:$BL$5=CV$5,IF($BF$4:$BL$4="B",$BF69:$BL69)))*BW69+SUM(IF($BF$5:$BL$5=CV$5,IF($BF$4:$BL$4=CV$4,$BF69:$BL69)))+SUM(IF($BF$5:$BL$5="B",$BF69:$BL69))*CB69)*$Q69</f>
        <v>1482.7115920914755</v>
      </c>
      <c r="CW69" s="7"/>
      <c r="CX69" s="9">
        <f t="shared" si="307"/>
        <v>3020</v>
      </c>
      <c r="CY69" s="9">
        <f t="shared" si="308"/>
        <v>-2545.1202079272252</v>
      </c>
      <c r="CZ69" s="9">
        <f t="shared" si="309"/>
        <v>474.87979207277476</v>
      </c>
      <c r="DA69" s="9">
        <f t="shared" si="310"/>
        <v>98</v>
      </c>
      <c r="DB69" s="9">
        <f t="shared" si="311"/>
        <v>-572.87979207277453</v>
      </c>
      <c r="DC69" s="9">
        <f t="shared" si="312"/>
        <v>-474.87979207277453</v>
      </c>
      <c r="DD69" s="9">
        <f t="shared" si="313"/>
        <v>3020</v>
      </c>
      <c r="DE69" s="9">
        <f ca="1">-$CK69</f>
        <v>-2152.0965625039084</v>
      </c>
      <c r="DF69" s="9">
        <f t="shared" ca="1" si="314"/>
        <v>867.90343749609156</v>
      </c>
      <c r="DG69" s="9">
        <f t="shared" si="315"/>
        <v>98</v>
      </c>
      <c r="DH69" s="9">
        <f t="shared" ca="1" si="316"/>
        <v>-965.90343749609156</v>
      </c>
      <c r="DI69" s="9">
        <f t="shared" ca="1" si="317"/>
        <v>-867.90343749609156</v>
      </c>
      <c r="DJ69" s="9">
        <f t="shared" si="318"/>
        <v>3020</v>
      </c>
      <c r="DK69" s="9">
        <f ca="1">-$CN69</f>
        <v>-2328.9572029444012</v>
      </c>
      <c r="DL69" s="9">
        <f t="shared" ca="1" si="319"/>
        <v>691.04279705559884</v>
      </c>
      <c r="DM69" s="9">
        <f t="shared" si="320"/>
        <v>98</v>
      </c>
      <c r="DN69" s="9">
        <f ca="1">-SUM($CO69:$CP69)</f>
        <v>-789.04279705559884</v>
      </c>
      <c r="DO69" s="9">
        <f t="shared" ca="1" si="321"/>
        <v>-691.04279705559884</v>
      </c>
      <c r="DP69" s="9">
        <f t="shared" si="322"/>
        <v>3020</v>
      </c>
      <c r="DQ69" s="9">
        <f ca="1">-$CQ69</f>
        <v>-2607.5498823880666</v>
      </c>
      <c r="DR69" s="9">
        <f t="shared" ca="1" si="323"/>
        <v>412.45011761193336</v>
      </c>
      <c r="DS69" s="9">
        <f t="shared" si="324"/>
        <v>98</v>
      </c>
      <c r="DT69" s="9">
        <f ca="1">-SUM($CR69:$CS69)</f>
        <v>-510.45011761193354</v>
      </c>
      <c r="DU69" s="9">
        <f t="shared" ca="1" si="325"/>
        <v>-412.45011761193354</v>
      </c>
    </row>
    <row r="70" spans="1:125" x14ac:dyDescent="0.25">
      <c r="A70" s="1">
        <v>900</v>
      </c>
      <c r="B70" s="14">
        <f t="shared" si="343"/>
        <v>220</v>
      </c>
      <c r="C70" s="9">
        <f>MIN(B70,$C$3-A70-ModulationRisk)</f>
        <v>200</v>
      </c>
      <c r="D70" s="14">
        <f>MAX(0,A70-Pole2_limit+ModulationRisk)</f>
        <v>402</v>
      </c>
      <c r="E70" s="15">
        <f>E69</f>
        <v>220</v>
      </c>
      <c r="F70" s="15">
        <f t="shared" si="280"/>
        <v>-2</v>
      </c>
      <c r="G70">
        <f t="shared" si="344"/>
        <v>10</v>
      </c>
      <c r="H70">
        <f t="shared" si="344"/>
        <v>1</v>
      </c>
      <c r="I70" s="5">
        <f>GenUnits!$V$12</f>
        <v>400</v>
      </c>
      <c r="J70" s="5">
        <f>GenUnits!$W$12</f>
        <v>122</v>
      </c>
      <c r="K70" s="14">
        <f t="shared" si="281"/>
        <v>402</v>
      </c>
      <c r="L70" s="14">
        <f t="shared" si="282"/>
        <v>402</v>
      </c>
      <c r="M70" s="14">
        <f t="shared" si="283"/>
        <v>122</v>
      </c>
      <c r="N70" s="34">
        <f>GenUnits!$V$11</f>
        <v>1297</v>
      </c>
      <c r="O70" s="34">
        <f>GenUnits!$W$11</f>
        <v>864</v>
      </c>
      <c r="P70" s="15">
        <f>MAX(0,K70-DeMinimis)</f>
        <v>342</v>
      </c>
      <c r="Q70" s="14">
        <f>IF(AND($H70&gt;=$G70,$F70&lt;=0,$E70&gt;0),0,1)</f>
        <v>1</v>
      </c>
      <c r="S70" s="7">
        <f t="shared" si="285"/>
        <v>402</v>
      </c>
      <c r="T70" s="7">
        <f>IF(F70&lt;0,MAX(0,M70-MIN($B70,S70)),MAX($M70-$C70,L70-S70))</f>
        <v>0</v>
      </c>
      <c r="U70" s="7">
        <f t="shared" si="286"/>
        <v>402</v>
      </c>
      <c r="V70" s="7">
        <f>$S70*$G70*$Q70</f>
        <v>4020</v>
      </c>
      <c r="W70" s="7">
        <f>$T70*$H70*$Q70</f>
        <v>0</v>
      </c>
      <c r="X70" s="7">
        <f t="shared" si="287"/>
        <v>4020</v>
      </c>
      <c r="Y70" s="7"/>
      <c r="Z70" s="7"/>
      <c r="AA70" s="47" t="str">
        <f>$A70&amp;" MW
["&amp;ROUND(K70,0)&amp;" MW]"</f>
        <v>900 MW
[402 MW]</v>
      </c>
      <c r="AB70" s="7">
        <f t="shared" si="326"/>
        <v>280</v>
      </c>
      <c r="AC70" s="15">
        <f>MAX(0,MIN(B70,J70-T70))</f>
        <v>122</v>
      </c>
      <c r="AD70" s="8">
        <v>0</v>
      </c>
      <c r="AE70" s="15">
        <f>MAX(0,T70-J70)</f>
        <v>0</v>
      </c>
      <c r="AF70" s="7">
        <f t="shared" si="327"/>
        <v>0</v>
      </c>
      <c r="AG70" s="7">
        <f>$T70-($L70-$S70)</f>
        <v>0</v>
      </c>
      <c r="AH70" s="7">
        <f t="shared" si="288"/>
        <v>402</v>
      </c>
      <c r="AI70" s="7" t="b">
        <f t="shared" si="328"/>
        <v>1</v>
      </c>
      <c r="AJ70" s="7"/>
      <c r="AK70" s="34" t="str">
        <f t="shared" si="329"/>
        <v>900 MW
[402 MW]</v>
      </c>
      <c r="AL70" s="7">
        <f t="shared" si="330"/>
        <v>180</v>
      </c>
      <c r="AM70" s="40">
        <f t="shared" si="331"/>
        <v>0</v>
      </c>
      <c r="AN70" s="40">
        <f t="shared" si="289"/>
        <v>0</v>
      </c>
      <c r="AO70" s="40">
        <f t="shared" si="290"/>
        <v>0</v>
      </c>
      <c r="AP70" s="40">
        <f t="shared" si="291"/>
        <v>0</v>
      </c>
      <c r="AQ70" s="40">
        <f t="shared" si="292"/>
        <v>0</v>
      </c>
      <c r="AR70" s="7">
        <f t="shared" si="332"/>
        <v>222</v>
      </c>
      <c r="AS70" s="7">
        <f t="shared" si="333"/>
        <v>402</v>
      </c>
      <c r="AT70" s="7" t="b">
        <f t="shared" si="334"/>
        <v>1</v>
      </c>
      <c r="AU70" s="7"/>
      <c r="AV70" s="7">
        <f t="shared" si="293"/>
        <v>2800</v>
      </c>
      <c r="AW70" s="7">
        <f t="shared" si="293"/>
        <v>1220</v>
      </c>
      <c r="AX70" s="7">
        <f t="shared" si="293"/>
        <v>0</v>
      </c>
      <c r="AY70" s="30">
        <f t="shared" si="294"/>
        <v>0</v>
      </c>
      <c r="AZ70" s="30">
        <f t="shared" si="294"/>
        <v>0</v>
      </c>
      <c r="BA70" s="30">
        <f t="shared" si="294"/>
        <v>0</v>
      </c>
      <c r="BB70" s="7">
        <f t="shared" si="295"/>
        <v>4020</v>
      </c>
      <c r="BC70" s="7" t="b">
        <f t="shared" si="296"/>
        <v>1</v>
      </c>
      <c r="BD70" s="7"/>
      <c r="BE70" s="7"/>
      <c r="BF70" s="7">
        <f t="shared" si="335"/>
        <v>1800</v>
      </c>
      <c r="BG70" s="7">
        <f t="shared" si="336"/>
        <v>0</v>
      </c>
      <c r="BH70" s="7">
        <f t="shared" si="337"/>
        <v>0</v>
      </c>
      <c r="BI70" s="30">
        <f t="shared" si="338"/>
        <v>0</v>
      </c>
      <c r="BJ70" s="30">
        <f t="shared" si="339"/>
        <v>0</v>
      </c>
      <c r="BK70" s="30">
        <f t="shared" si="340"/>
        <v>0</v>
      </c>
      <c r="BL70" s="7">
        <f t="shared" si="341"/>
        <v>2220</v>
      </c>
      <c r="BM70" s="7">
        <f t="shared" si="342"/>
        <v>4020</v>
      </c>
      <c r="BN70" s="7" t="b">
        <f t="shared" si="297"/>
        <v>1</v>
      </c>
      <c r="BO70" s="7"/>
      <c r="BP70" s="7">
        <f>MATCH($A70,GenUnits!$AX$43:$AX$48,1)</f>
        <v>5</v>
      </c>
      <c r="BQ70" s="7"/>
      <c r="BR70" s="2">
        <f t="shared" ca="1" si="298"/>
        <v>0.59930380038142916</v>
      </c>
      <c r="BS70" s="2">
        <f t="shared" ca="1" si="298"/>
        <v>0.19087549096895146</v>
      </c>
      <c r="BT70" s="2">
        <f t="shared" ca="1" si="298"/>
        <v>0.20982070864961938</v>
      </c>
      <c r="BU70" s="59">
        <f t="shared" ca="1" si="299"/>
        <v>0.7406818032234791</v>
      </c>
      <c r="BV70" s="59">
        <f t="shared" ca="1" si="299"/>
        <v>1</v>
      </c>
      <c r="BW70" s="59">
        <f t="shared" ca="1" si="299"/>
        <v>0.25931819677652101</v>
      </c>
      <c r="BX70" s="2">
        <f>C70/U70</f>
        <v>0.49751243781094528</v>
      </c>
      <c r="BY70" s="2">
        <f>SUM(AC70,AG70)/J70</f>
        <v>1</v>
      </c>
      <c r="BZ70" s="60">
        <f t="shared" ca="1" si="300"/>
        <v>0.75844027670890501</v>
      </c>
      <c r="CA70" s="60">
        <f t="shared" ca="1" si="300"/>
        <v>0.24155972329109496</v>
      </c>
      <c r="CB70" s="52">
        <v>0</v>
      </c>
      <c r="CC70" s="2"/>
      <c r="CD70" s="7"/>
      <c r="CE70" s="7"/>
      <c r="CF70" s="7"/>
      <c r="CG70" s="7" t="str">
        <f>AA70</f>
        <v>900 MW
[402 MW]</v>
      </c>
      <c r="CH70" s="9">
        <f t="shared" si="301"/>
        <v>3181.171446003661</v>
      </c>
      <c r="CI70" s="7">
        <f t="shared" si="302"/>
        <v>0</v>
      </c>
      <c r="CJ70" s="9">
        <f>$V70*$P70/SUM($N70,$P70)</f>
        <v>838.82855399633922</v>
      </c>
      <c r="CK70" s="7">
        <f t="shared" ca="1" si="303"/>
        <v>2409.2012775333451</v>
      </c>
      <c r="CL70" s="7">
        <f t="shared" ca="1" si="304"/>
        <v>767.3194736951848</v>
      </c>
      <c r="CM70" s="7">
        <f t="shared" ca="1" si="305"/>
        <v>843.47924877146988</v>
      </c>
      <c r="CN70" s="7">
        <f t="shared" ca="1" si="306"/>
        <v>2797.1066855706681</v>
      </c>
      <c r="CO70" s="7">
        <f t="shared" ca="1" si="306"/>
        <v>381.75098193790291</v>
      </c>
      <c r="CP70" s="7">
        <f t="shared" ca="1" si="306"/>
        <v>841.14233249142922</v>
      </c>
      <c r="CQ70" s="7">
        <f t="array" aca="1" ref="CQ70" ca="1">(SUM(IF($AV$5:$BA$5=CQ$5,$AV70:$BA70))*BU70+SUM(IF($AV$5:$BA$5="B",$AV70:$BA70))*BR70)*$Q70</f>
        <v>2805.059685491085</v>
      </c>
      <c r="CR70" s="7">
        <f t="array" aca="1" ref="CR70" ca="1">(SUM(IF($AV$5:$BA$5=CR$5,$AV70:$BA70))*BV70+SUM(IF($AV$5:$BA$5="B",$AV70:$BA70))*BS70)*$Q70</f>
        <v>232.86809898212078</v>
      </c>
      <c r="CS70" s="7">
        <f t="array" aca="1" ref="CS70" ca="1">(SUM(IF($AV$5:$BA$5=CS$5,$AV70:$BA70))*BW70+SUM(IF($AV$5:$BA$5="B",$AV70:$BA70))*BT70)*$Q70</f>
        <v>982.07221552679448</v>
      </c>
      <c r="CT70" s="7">
        <f t="array" aca="1" ref="CT70" ca="1">(SUM(IF($BF$5:$BL$5=CT$5,IF($BF$4:$BL$4="B",$BF70:$BL70)))*BU70+SUM(IF($BF$5:$BL$5=CT$5,IF($BF$4:$BL$4=CT$4,$BF70:$BL70)))+SUM(IF($BF$5:$BL$5="B",$BF70:$BL70))*BZ70)*$Q70</f>
        <v>1333.2272458022624</v>
      </c>
      <c r="CU70" s="7">
        <f t="array" aca="1" ref="CU70" ca="1">(SUM(IF($BF$5:$BL$5=CU$5,IF($BF$4:$BL$4="B",$BF70:$BL70)))*BV70+SUM(IF($BF$5:$BL$5=CU$5,IF($BF$4:$BL$4=CU$4,$BF70:$BL70)))+SUM(IF($BF$5:$BL$5="B",$BF70:$BL70))*CA70)*$Q70</f>
        <v>0</v>
      </c>
      <c r="CV70" s="7">
        <f t="array" aca="1" ref="CV70" ca="1">(SUM(IF($BF$5:$BL$5=CV$5,IF($BF$4:$BL$4="B",$BF70:$BL70)))*BW70+SUM(IF($BF$5:$BL$5=CV$5,IF($BF$4:$BL$4=CV$4,$BF70:$BL70)))+SUM(IF($BF$5:$BL$5="B",$BF70:$BL70))*CB70)*$Q70</f>
        <v>2686.7727541977379</v>
      </c>
      <c r="CW70" s="7"/>
      <c r="CX70" s="9">
        <f t="shared" si="307"/>
        <v>4020</v>
      </c>
      <c r="CY70" s="9">
        <f t="shared" si="308"/>
        <v>-3181.171446003661</v>
      </c>
      <c r="CZ70" s="9">
        <f t="shared" si="309"/>
        <v>838.828553996339</v>
      </c>
      <c r="DA70" s="9">
        <f t="shared" si="310"/>
        <v>0</v>
      </c>
      <c r="DB70" s="9">
        <f t="shared" si="311"/>
        <v>-838.82855399633922</v>
      </c>
      <c r="DC70" s="9">
        <f t="shared" si="312"/>
        <v>-838.82855399633922</v>
      </c>
      <c r="DD70" s="9">
        <f t="shared" si="313"/>
        <v>4020</v>
      </c>
      <c r="DE70" s="9">
        <f ca="1">-$CK70</f>
        <v>-2409.2012775333451</v>
      </c>
      <c r="DF70" s="9">
        <f t="shared" ca="1" si="314"/>
        <v>1610.7987224666549</v>
      </c>
      <c r="DG70" s="9">
        <f t="shared" si="315"/>
        <v>0</v>
      </c>
      <c r="DH70" s="9">
        <f t="shared" ca="1" si="316"/>
        <v>-1610.7987224666547</v>
      </c>
      <c r="DI70" s="9">
        <f t="shared" ca="1" si="317"/>
        <v>-1610.7987224666547</v>
      </c>
      <c r="DJ70" s="9">
        <f t="shared" si="318"/>
        <v>4020</v>
      </c>
      <c r="DK70" s="9">
        <f ca="1">-$CN70</f>
        <v>-2797.1066855706681</v>
      </c>
      <c r="DL70" s="9">
        <f t="shared" ca="1" si="319"/>
        <v>1222.8933144293319</v>
      </c>
      <c r="DM70" s="9">
        <f t="shared" si="320"/>
        <v>0</v>
      </c>
      <c r="DN70" s="9">
        <f ca="1">-SUM($CO70:$CP70)</f>
        <v>-1222.8933144293321</v>
      </c>
      <c r="DO70" s="9">
        <f t="shared" ca="1" si="321"/>
        <v>-1222.8933144293321</v>
      </c>
      <c r="DP70" s="9">
        <f t="shared" si="322"/>
        <v>4020</v>
      </c>
      <c r="DQ70" s="9">
        <f ca="1">-$CQ70</f>
        <v>-2805.059685491085</v>
      </c>
      <c r="DR70" s="9">
        <f t="shared" ca="1" si="323"/>
        <v>1214.940314508915</v>
      </c>
      <c r="DS70" s="9">
        <f t="shared" si="324"/>
        <v>0</v>
      </c>
      <c r="DT70" s="9">
        <f ca="1">-SUM($CR70:$CS70)</f>
        <v>-1214.9403145089152</v>
      </c>
      <c r="DU70" s="9">
        <f t="shared" ca="1" si="325"/>
        <v>-1214.9403145089152</v>
      </c>
    </row>
    <row r="71" spans="1:125" x14ac:dyDescent="0.25">
      <c r="A71" s="1">
        <v>1000</v>
      </c>
      <c r="B71" s="14">
        <f t="shared" si="343"/>
        <v>220</v>
      </c>
      <c r="C71" s="9">
        <f>MIN(B71,$C$3-A71-ModulationRisk)</f>
        <v>100</v>
      </c>
      <c r="D71" s="14">
        <f>MAX(0,A71-Pole2_limit+ModulationRisk)</f>
        <v>502</v>
      </c>
      <c r="E71" s="15">
        <f>E70</f>
        <v>220</v>
      </c>
      <c r="F71" s="15">
        <f t="shared" si="280"/>
        <v>-102</v>
      </c>
      <c r="G71">
        <f t="shared" si="344"/>
        <v>10</v>
      </c>
      <c r="H71">
        <f t="shared" si="344"/>
        <v>1</v>
      </c>
      <c r="I71" s="5">
        <f>GenUnits!$V$12</f>
        <v>400</v>
      </c>
      <c r="J71" s="5">
        <f>GenUnits!$W$12</f>
        <v>122</v>
      </c>
      <c r="K71" s="14">
        <f t="shared" si="281"/>
        <v>502</v>
      </c>
      <c r="L71" s="14">
        <f t="shared" si="282"/>
        <v>502</v>
      </c>
      <c r="M71" s="14">
        <f t="shared" si="283"/>
        <v>122</v>
      </c>
      <c r="N71" s="34">
        <f>GenUnits!$V$11</f>
        <v>1297</v>
      </c>
      <c r="O71" s="34">
        <f>GenUnits!$W$11</f>
        <v>864</v>
      </c>
      <c r="P71" s="15">
        <f>MAX(0,K71-DeMinimis)</f>
        <v>442</v>
      </c>
      <c r="Q71" s="14">
        <f t="shared" ref="Q71" si="345">IF(AND($H71&gt;=$G71,$F71&lt;=0,$E71&gt;0),0,1)</f>
        <v>1</v>
      </c>
      <c r="S71" s="7">
        <f t="shared" si="285"/>
        <v>502</v>
      </c>
      <c r="T71" s="7">
        <f>IF(F71&lt;0,MAX(0,M71-MIN($B71,S71)),MAX($M71-$C71,L71-S71))</f>
        <v>0</v>
      </c>
      <c r="U71" s="7">
        <f t="shared" si="286"/>
        <v>502</v>
      </c>
      <c r="V71" s="7">
        <f>$S71*$G71*$Q71</f>
        <v>5020</v>
      </c>
      <c r="W71" s="7">
        <f>$T71*$H71*$Q71</f>
        <v>0</v>
      </c>
      <c r="X71" s="7">
        <f t="shared" si="287"/>
        <v>5020</v>
      </c>
      <c r="Y71" s="7"/>
      <c r="Z71" s="7"/>
      <c r="AA71" s="47" t="str">
        <f>$A71&amp;" MW
["&amp;ROUND(K71,0)&amp;" MW]"</f>
        <v>1000 MW
[502 MW]</v>
      </c>
      <c r="AB71" s="7">
        <f t="shared" si="326"/>
        <v>380</v>
      </c>
      <c r="AC71" s="15">
        <f>MAX(0,MIN(B71,J71-T71))</f>
        <v>122</v>
      </c>
      <c r="AD71" s="8">
        <v>0</v>
      </c>
      <c r="AE71" s="15">
        <f>MAX(0,T71-J71)</f>
        <v>0</v>
      </c>
      <c r="AF71" s="7">
        <f t="shared" si="327"/>
        <v>0</v>
      </c>
      <c r="AG71" s="7">
        <f>$T71-($L71-$S71)</f>
        <v>0</v>
      </c>
      <c r="AH71" s="7">
        <f t="shared" si="288"/>
        <v>502</v>
      </c>
      <c r="AI71" s="7" t="b">
        <f t="shared" si="328"/>
        <v>1</v>
      </c>
      <c r="AJ71" s="7"/>
      <c r="AK71" s="34" t="str">
        <f t="shared" si="329"/>
        <v>1000 MW
[502 MW]</v>
      </c>
      <c r="AL71" s="7">
        <f t="shared" si="330"/>
        <v>180</v>
      </c>
      <c r="AM71" s="40">
        <f t="shared" si="331"/>
        <v>0</v>
      </c>
      <c r="AN71" s="40">
        <f t="shared" si="289"/>
        <v>0</v>
      </c>
      <c r="AO71" s="40">
        <f t="shared" si="290"/>
        <v>0</v>
      </c>
      <c r="AP71" s="40">
        <f t="shared" si="291"/>
        <v>0</v>
      </c>
      <c r="AQ71" s="40">
        <f t="shared" si="292"/>
        <v>0</v>
      </c>
      <c r="AR71" s="7">
        <f t="shared" si="332"/>
        <v>322</v>
      </c>
      <c r="AS71" s="7">
        <f t="shared" si="333"/>
        <v>502</v>
      </c>
      <c r="AT71" s="7" t="b">
        <f t="shared" si="334"/>
        <v>1</v>
      </c>
      <c r="AU71" s="7"/>
      <c r="AV71" s="7">
        <f t="shared" si="293"/>
        <v>3800</v>
      </c>
      <c r="AW71" s="7">
        <f t="shared" si="293"/>
        <v>1220</v>
      </c>
      <c r="AX71" s="7">
        <f t="shared" si="293"/>
        <v>0</v>
      </c>
      <c r="AY71" s="30">
        <f t="shared" si="294"/>
        <v>0</v>
      </c>
      <c r="AZ71" s="30">
        <f t="shared" si="294"/>
        <v>0</v>
      </c>
      <c r="BA71" s="30">
        <f t="shared" si="294"/>
        <v>0</v>
      </c>
      <c r="BB71" s="7">
        <f t="shared" si="295"/>
        <v>5020</v>
      </c>
      <c r="BC71" s="7" t="b">
        <f t="shared" si="296"/>
        <v>1</v>
      </c>
      <c r="BD71" s="7"/>
      <c r="BE71" s="7"/>
      <c r="BF71" s="7">
        <f t="shared" si="335"/>
        <v>1800</v>
      </c>
      <c r="BG71" s="7">
        <f t="shared" si="336"/>
        <v>0</v>
      </c>
      <c r="BH71" s="7">
        <f t="shared" si="337"/>
        <v>0</v>
      </c>
      <c r="BI71" s="30">
        <f t="shared" si="338"/>
        <v>0</v>
      </c>
      <c r="BJ71" s="30">
        <f t="shared" si="339"/>
        <v>0</v>
      </c>
      <c r="BK71" s="30">
        <f t="shared" si="340"/>
        <v>0</v>
      </c>
      <c r="BL71" s="7">
        <f t="shared" si="341"/>
        <v>3220</v>
      </c>
      <c r="BM71" s="7">
        <f t="shared" si="342"/>
        <v>5020</v>
      </c>
      <c r="BN71" s="7" t="b">
        <f t="shared" si="297"/>
        <v>1</v>
      </c>
      <c r="BO71" s="7"/>
      <c r="BP71" s="7">
        <f>MATCH($A71,GenUnits!$AX$43:$AX$48,1)</f>
        <v>6</v>
      </c>
      <c r="BQ71" s="7"/>
      <c r="BR71" s="2">
        <f t="shared" ca="1" si="298"/>
        <v>0.47992057321381393</v>
      </c>
      <c r="BS71" s="2">
        <f t="shared" ca="1" si="298"/>
        <v>0.15285248479983765</v>
      </c>
      <c r="BT71" s="2">
        <f t="shared" ca="1" si="298"/>
        <v>0.36722694198634848</v>
      </c>
      <c r="BU71" s="59">
        <f t="shared" ca="1" si="299"/>
        <v>0.56651358187649192</v>
      </c>
      <c r="BV71" s="59">
        <f t="shared" ca="1" si="299"/>
        <v>1</v>
      </c>
      <c r="BW71" s="59">
        <f t="shared" ca="1" si="299"/>
        <v>0.43348641812350802</v>
      </c>
      <c r="BX71" s="2">
        <f>C71/U71</f>
        <v>0.19920318725099601</v>
      </c>
      <c r="BY71" s="2">
        <f>SUM(AC71,AG71)/J71</f>
        <v>1</v>
      </c>
      <c r="BZ71" s="60">
        <f t="shared" ca="1" si="300"/>
        <v>0.75844027670890501</v>
      </c>
      <c r="CA71" s="60">
        <f t="shared" ca="1" si="300"/>
        <v>0.24155972329109496</v>
      </c>
      <c r="CB71" s="52">
        <v>0</v>
      </c>
      <c r="CC71" s="2"/>
      <c r="CD71" s="7"/>
      <c r="CE71" s="7"/>
      <c r="CF71" s="7"/>
      <c r="CG71" s="7" t="str">
        <f>AA71</f>
        <v>1000 MW
[502 MW]</v>
      </c>
      <c r="CH71" s="9">
        <f t="shared" si="301"/>
        <v>3744.0713053479012</v>
      </c>
      <c r="CI71" s="7">
        <f t="shared" si="302"/>
        <v>0</v>
      </c>
      <c r="CJ71" s="9">
        <f>$V71*$P71/SUM($N71,$P71)</f>
        <v>1275.928694652099</v>
      </c>
      <c r="CK71" s="7">
        <f t="shared" ca="1" si="303"/>
        <v>2409.201277533346</v>
      </c>
      <c r="CL71" s="7">
        <f t="shared" ca="1" si="304"/>
        <v>767.31947369518502</v>
      </c>
      <c r="CM71" s="7">
        <f t="shared" ca="1" si="305"/>
        <v>1843.4792487714694</v>
      </c>
      <c r="CN71" s="7">
        <f t="shared" ca="1" si="306"/>
        <v>3478.1609412414159</v>
      </c>
      <c r="CO71" s="7">
        <f t="shared" ca="1" si="306"/>
        <v>152.85248479983764</v>
      </c>
      <c r="CP71" s="7">
        <f t="shared" ca="1" si="306"/>
        <v>1388.9865739587465</v>
      </c>
      <c r="CQ71" s="7">
        <f t="array" aca="1" ref="CQ71" ca="1">(SUM(IF($AV$5:$BA$5=CQ$5,$AV71:$BA71))*BU71+SUM(IF($AV$5:$BA$5="B",$AV71:$BA71))*BR71)*$Q71</f>
        <v>2738.2547104515224</v>
      </c>
      <c r="CR71" s="7">
        <f t="array" aca="1" ref="CR71" ca="1">(SUM(IF($AV$5:$BA$5=CR$5,$AV71:$BA71))*BV71+SUM(IF($AV$5:$BA$5="B",$AV71:$BA71))*BS71)*$Q71</f>
        <v>186.48003145580194</v>
      </c>
      <c r="CS71" s="7">
        <f t="array" aca="1" ref="CS71" ca="1">(SUM(IF($AV$5:$BA$5=CS$5,$AV71:$BA71))*BW71+SUM(IF($AV$5:$BA$5="B",$AV71:$BA71))*BT71)*$Q71</f>
        <v>2095.2652580926756</v>
      </c>
      <c r="CT71" s="7">
        <f t="array" aca="1" ref="CT71" ca="1">(SUM(IF($BF$5:$BL$5=CT$5,IF($BF$4:$BL$4="B",$BF71:$BL71)))*BU71+SUM(IF($BF$5:$BL$5=CT$5,IF($BF$4:$BL$4=CT$4,$BF71:$BL71)))+SUM(IF($BF$5:$BL$5="B",$BF71:$BL71))*BZ71)*$Q71</f>
        <v>1019.7244473776855</v>
      </c>
      <c r="CU71" s="7">
        <f t="array" aca="1" ref="CU71" ca="1">(SUM(IF($BF$5:$BL$5=CU$5,IF($BF$4:$BL$4="B",$BF71:$BL71)))*BV71+SUM(IF($BF$5:$BL$5=CU$5,IF($BF$4:$BL$4=CU$4,$BF71:$BL71)))+SUM(IF($BF$5:$BL$5="B",$BF71:$BL71))*CA71)*$Q71</f>
        <v>0</v>
      </c>
      <c r="CV71" s="7">
        <f t="array" aca="1" ref="CV71" ca="1">(SUM(IF($BF$5:$BL$5=CV$5,IF($BF$4:$BL$4="B",$BF71:$BL71)))*BW71+SUM(IF($BF$5:$BL$5=CV$5,IF($BF$4:$BL$4=CV$4,$BF71:$BL71)))+SUM(IF($BF$5:$BL$5="B",$BF71:$BL71))*CB71)*$Q71</f>
        <v>4000.2755526223145</v>
      </c>
      <c r="CW71" s="7"/>
      <c r="CX71" s="9">
        <f t="shared" si="307"/>
        <v>5020</v>
      </c>
      <c r="CY71" s="9">
        <f t="shared" si="308"/>
        <v>-3744.0713053479012</v>
      </c>
      <c r="CZ71" s="9">
        <f t="shared" si="309"/>
        <v>1275.9286946520988</v>
      </c>
      <c r="DA71" s="9">
        <f t="shared" si="310"/>
        <v>0</v>
      </c>
      <c r="DB71" s="9">
        <f t="shared" si="311"/>
        <v>-1275.928694652099</v>
      </c>
      <c r="DC71" s="9">
        <f t="shared" si="312"/>
        <v>-1275.928694652099</v>
      </c>
      <c r="DD71" s="9">
        <f t="shared" si="313"/>
        <v>5020</v>
      </c>
      <c r="DE71" s="9">
        <f ca="1">-$CK71</f>
        <v>-2409.201277533346</v>
      </c>
      <c r="DF71" s="9">
        <f t="shared" ca="1" si="314"/>
        <v>2610.798722466654</v>
      </c>
      <c r="DG71" s="9">
        <f t="shared" si="315"/>
        <v>0</v>
      </c>
      <c r="DH71" s="9">
        <f t="shared" ca="1" si="316"/>
        <v>-2610.7987224666545</v>
      </c>
      <c r="DI71" s="9">
        <f t="shared" ca="1" si="317"/>
        <v>-2610.7987224666545</v>
      </c>
      <c r="DJ71" s="9">
        <f t="shared" si="318"/>
        <v>5020</v>
      </c>
      <c r="DK71" s="9">
        <f ca="1">-$CN71</f>
        <v>-3478.1609412414159</v>
      </c>
      <c r="DL71" s="9">
        <f t="shared" ca="1" si="319"/>
        <v>1541.8390587585841</v>
      </c>
      <c r="DM71" s="9">
        <f t="shared" si="320"/>
        <v>0</v>
      </c>
      <c r="DN71" s="9">
        <f ca="1">-SUM($CO71:$CP71)</f>
        <v>-1541.8390587585841</v>
      </c>
      <c r="DO71" s="9">
        <f t="shared" ca="1" si="321"/>
        <v>-1541.8390587585841</v>
      </c>
      <c r="DP71" s="9">
        <f t="shared" si="322"/>
        <v>5020</v>
      </c>
      <c r="DQ71" s="9">
        <f ca="1">-$CQ71</f>
        <v>-2738.2547104515224</v>
      </c>
      <c r="DR71" s="9">
        <f t="shared" ca="1" si="323"/>
        <v>2281.7452895484776</v>
      </c>
      <c r="DS71" s="9">
        <f t="shared" si="324"/>
        <v>0</v>
      </c>
      <c r="DT71" s="9">
        <f ca="1">-SUM($CR71:$CS71)</f>
        <v>-2281.7452895484776</v>
      </c>
      <c r="DU71" s="9">
        <f t="shared" ca="1" si="325"/>
        <v>-2281.7452895484776</v>
      </c>
    </row>
    <row r="72" spans="1:125" x14ac:dyDescent="0.25">
      <c r="E72" s="7"/>
      <c r="F72" s="7"/>
      <c r="S72" s="40"/>
      <c r="T72" s="40"/>
      <c r="U72" s="40"/>
      <c r="V72" s="40"/>
      <c r="W72" s="40"/>
      <c r="X72" s="40"/>
      <c r="Y72" s="40"/>
      <c r="Z72" s="40"/>
      <c r="AA72" s="41"/>
      <c r="AB72" s="40"/>
      <c r="AC72" s="40"/>
      <c r="AD72" s="40"/>
      <c r="AE72" s="43"/>
      <c r="AF72" s="43"/>
      <c r="AG72" s="40"/>
      <c r="AH72" s="40"/>
      <c r="AI72" s="40"/>
      <c r="AJ72" s="40"/>
      <c r="AK72" s="40"/>
      <c r="AL72" s="40"/>
      <c r="AM72" s="40"/>
      <c r="AN72" s="40"/>
      <c r="AO72" s="40"/>
      <c r="AP72" s="40"/>
      <c r="AQ72" s="40"/>
      <c r="AR72" s="50"/>
      <c r="AS72" s="40"/>
      <c r="AT72" s="40"/>
      <c r="AU72" s="40"/>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2"/>
      <c r="BY72" s="2"/>
      <c r="BZ72" s="2"/>
      <c r="CA72" s="2"/>
      <c r="CB72" s="2"/>
      <c r="CC72" s="2"/>
      <c r="CD72" s="7"/>
      <c r="CE72" s="7"/>
      <c r="CF72" s="7"/>
      <c r="CG72" s="7"/>
      <c r="CN72" s="7"/>
      <c r="CO72" s="7"/>
      <c r="CP72" s="7"/>
      <c r="DK72" s="9"/>
      <c r="DN72" s="9"/>
      <c r="DT72" s="9"/>
    </row>
    <row r="73" spans="1:125" x14ac:dyDescent="0.25">
      <c r="F73" s="7"/>
      <c r="S73" s="7"/>
      <c r="T73" s="7"/>
      <c r="U73" s="7"/>
      <c r="V73" s="7"/>
      <c r="W73" s="7"/>
      <c r="X73" s="7"/>
      <c r="Y73" s="7"/>
      <c r="Z73" s="7"/>
      <c r="AA73" s="35"/>
      <c r="AB73" s="7"/>
      <c r="AC73" s="7"/>
      <c r="AD73" s="7"/>
      <c r="AE73" s="36"/>
      <c r="AF73" s="36"/>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DC73" s="9"/>
      <c r="DI73" s="9"/>
      <c r="DO73" s="9"/>
      <c r="DU73" s="9"/>
    </row>
    <row r="74" spans="1:125" x14ac:dyDescent="0.25">
      <c r="F74" s="7"/>
      <c r="S74" s="7"/>
      <c r="T74" s="7"/>
      <c r="U74" s="7"/>
      <c r="V74" s="7"/>
      <c r="W74" s="7"/>
      <c r="X74" s="7"/>
      <c r="Y74" s="7"/>
      <c r="Z74" s="7"/>
      <c r="AA74" s="35"/>
      <c r="AB74" s="7"/>
      <c r="AC74" s="7"/>
      <c r="AD74" s="7"/>
      <c r="AE74" s="36"/>
      <c r="AF74" s="36"/>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DC74" s="9"/>
      <c r="DI74" s="9"/>
      <c r="DO74" s="9"/>
      <c r="DU74" s="9"/>
    </row>
    <row r="75" spans="1:125" x14ac:dyDescent="0.25">
      <c r="F75" s="7"/>
      <c r="S75" s="7"/>
      <c r="T75" s="7"/>
      <c r="U75" s="7"/>
      <c r="V75" s="7"/>
      <c r="W75" s="7"/>
      <c r="X75" s="7"/>
      <c r="Y75" s="7"/>
      <c r="Z75" s="7"/>
      <c r="AA75" s="35"/>
      <c r="AB75" s="7"/>
      <c r="AC75" s="7"/>
      <c r="AD75" s="7"/>
      <c r="AE75" s="36"/>
      <c r="AF75" s="36"/>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DC75" s="9"/>
      <c r="DI75" s="9"/>
      <c r="DO75" s="9"/>
      <c r="DU75" s="9"/>
    </row>
    <row r="76" spans="1:125" x14ac:dyDescent="0.25">
      <c r="F76" s="7"/>
      <c r="S76" s="7"/>
      <c r="T76" s="7"/>
      <c r="U76" s="7"/>
      <c r="V76" s="7"/>
      <c r="W76" s="7"/>
      <c r="X76" s="7"/>
      <c r="Y76" s="7"/>
      <c r="Z76" s="7"/>
      <c r="AA76" s="35"/>
      <c r="AB76" s="7"/>
      <c r="AC76" s="7"/>
      <c r="AD76" s="7"/>
      <c r="AE76" s="36"/>
      <c r="AF76" s="36"/>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DC76" s="9"/>
      <c r="DI76" s="9"/>
      <c r="DO76" s="9"/>
      <c r="DU76" s="9"/>
    </row>
    <row r="77" spans="1:125" x14ac:dyDescent="0.25">
      <c r="F77" s="7"/>
      <c r="S77" s="7"/>
      <c r="T77" s="7"/>
      <c r="U77" s="7"/>
      <c r="V77" s="7"/>
      <c r="W77" s="7"/>
      <c r="X77" s="7"/>
      <c r="Y77" s="7"/>
      <c r="Z77" s="7"/>
      <c r="AA77" s="35"/>
      <c r="AB77" s="7"/>
      <c r="AC77" s="7"/>
      <c r="AD77" s="7"/>
      <c r="AE77" s="36"/>
      <c r="AF77" s="36"/>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DC77" s="9"/>
      <c r="DI77" s="9"/>
      <c r="DO77" s="9"/>
      <c r="DU77" s="9"/>
    </row>
    <row r="78" spans="1:125" x14ac:dyDescent="0.25">
      <c r="F78" s="7"/>
      <c r="S78" s="7"/>
      <c r="T78" s="7"/>
      <c r="U78" s="7"/>
      <c r="V78" s="7"/>
      <c r="W78" s="7"/>
      <c r="X78" s="7"/>
      <c r="Y78" s="7"/>
      <c r="Z78" s="7"/>
      <c r="AA78" s="35"/>
      <c r="AB78" s="7"/>
      <c r="AC78" s="7"/>
      <c r="AD78" s="7"/>
      <c r="AE78" s="36"/>
      <c r="AF78" s="36"/>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DC78" s="9"/>
      <c r="DI78" s="9"/>
      <c r="DO78" s="9"/>
      <c r="DU78" s="9"/>
    </row>
    <row r="79" spans="1:125" x14ac:dyDescent="0.25">
      <c r="F79" s="7"/>
      <c r="S79" s="7"/>
      <c r="T79" s="7"/>
      <c r="U79" s="7"/>
      <c r="V79" s="7"/>
      <c r="W79" s="7"/>
      <c r="X79" s="7"/>
      <c r="Y79" s="7"/>
      <c r="Z79" s="7"/>
      <c r="AA79" s="35"/>
      <c r="AB79" s="7"/>
      <c r="AC79" s="7"/>
      <c r="AD79" s="7"/>
      <c r="AE79" s="36"/>
      <c r="AF79" s="36"/>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DC79" s="9"/>
      <c r="DI79" s="9"/>
      <c r="DO79" s="9"/>
      <c r="DU79" s="9"/>
    </row>
    <row r="80" spans="1:125" x14ac:dyDescent="0.25">
      <c r="F80" s="7"/>
      <c r="S80" s="7"/>
      <c r="T80" s="7"/>
      <c r="U80" s="7"/>
      <c r="V80" s="7"/>
      <c r="W80" s="7"/>
      <c r="X80" s="7"/>
      <c r="Y80" s="7"/>
      <c r="Z80" s="7"/>
      <c r="AA80" s="35"/>
      <c r="AB80" s="7"/>
      <c r="AC80" s="7"/>
      <c r="AD80" s="7"/>
      <c r="AE80" s="36"/>
      <c r="AF80" s="36"/>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DC80" s="9"/>
      <c r="DI80" s="9"/>
      <c r="DO80" s="9"/>
      <c r="DU80" s="9"/>
    </row>
    <row r="81" spans="6:125" x14ac:dyDescent="0.25">
      <c r="F81" s="7"/>
      <c r="S81" s="7"/>
      <c r="T81" s="7"/>
      <c r="U81" s="7"/>
      <c r="V81" s="7"/>
      <c r="W81" s="7"/>
      <c r="X81" s="7"/>
      <c r="Y81" s="7"/>
      <c r="Z81" s="7"/>
      <c r="AA81" s="35"/>
      <c r="AB81" s="7"/>
      <c r="AC81" s="7"/>
      <c r="AD81" s="7"/>
      <c r="AE81" s="36"/>
      <c r="AF81" s="36"/>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DC81" s="9"/>
      <c r="DI81" s="9"/>
      <c r="DO81" s="9"/>
      <c r="DU81" s="9"/>
    </row>
    <row r="82" spans="6:125" x14ac:dyDescent="0.25">
      <c r="F82" s="7"/>
      <c r="S82" s="7"/>
      <c r="T82" s="7"/>
      <c r="U82" s="7"/>
      <c r="V82" s="7"/>
      <c r="W82" s="7"/>
      <c r="X82" s="7"/>
      <c r="Y82" s="7"/>
      <c r="Z82" s="7"/>
      <c r="AA82" s="35"/>
      <c r="AB82" s="7"/>
      <c r="AC82" s="7"/>
      <c r="AD82" s="7"/>
      <c r="AE82" s="36"/>
      <c r="AF82" s="36"/>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DC82" s="9"/>
      <c r="DI82" s="9"/>
      <c r="DO82" s="9"/>
      <c r="DU82" s="9"/>
    </row>
    <row r="83" spans="6:125" x14ac:dyDescent="0.25">
      <c r="F83" s="7"/>
      <c r="S83" s="7"/>
      <c r="T83" s="7"/>
      <c r="U83" s="7"/>
      <c r="V83" s="7"/>
      <c r="W83" s="7"/>
      <c r="X83" s="7"/>
      <c r="Y83" s="7"/>
      <c r="Z83" s="7"/>
      <c r="AA83" s="35"/>
      <c r="AB83" s="7"/>
      <c r="AC83" s="7"/>
      <c r="AD83" s="7"/>
      <c r="AE83" s="36"/>
      <c r="AF83" s="36"/>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DC83" s="9"/>
      <c r="DI83" s="9"/>
      <c r="DO83" s="9"/>
      <c r="DU83" s="9"/>
    </row>
    <row r="84" spans="6:125" x14ac:dyDescent="0.25">
      <c r="F84" s="7"/>
      <c r="S84" s="7"/>
      <c r="T84" s="7"/>
      <c r="U84" s="7"/>
      <c r="V84" s="7"/>
      <c r="W84" s="7"/>
      <c r="X84" s="7"/>
      <c r="Y84" s="7"/>
      <c r="Z84" s="7"/>
      <c r="AA84" s="35"/>
      <c r="AB84" s="7"/>
      <c r="AC84" s="7"/>
      <c r="AD84" s="7"/>
      <c r="AE84" s="36"/>
      <c r="AF84" s="36"/>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DC84" s="9"/>
      <c r="DI84" s="9"/>
      <c r="DO84" s="9"/>
      <c r="DU84" s="9"/>
    </row>
    <row r="85" spans="6:125" x14ac:dyDescent="0.25">
      <c r="F85" s="7"/>
      <c r="S85" s="7"/>
      <c r="T85" s="7"/>
      <c r="U85" s="7"/>
      <c r="V85" s="7"/>
      <c r="W85" s="7"/>
      <c r="X85" s="7"/>
      <c r="Y85" s="7"/>
      <c r="Z85" s="7"/>
      <c r="AA85" s="35"/>
      <c r="AB85" s="7"/>
      <c r="AC85" s="7"/>
      <c r="AD85" s="7"/>
      <c r="AE85" s="36"/>
      <c r="AF85" s="36"/>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DC85" s="9"/>
      <c r="DI85" s="9"/>
      <c r="DO85" s="9"/>
      <c r="DU85" s="9"/>
    </row>
    <row r="86" spans="6:125" x14ac:dyDescent="0.25">
      <c r="F86" s="7"/>
      <c r="S86" s="7"/>
      <c r="T86" s="7"/>
      <c r="U86" s="7"/>
      <c r="V86" s="7"/>
      <c r="W86" s="7"/>
      <c r="X86" s="7"/>
      <c r="Y86" s="7"/>
      <c r="Z86" s="7"/>
      <c r="AA86" s="35"/>
      <c r="AB86" s="7"/>
      <c r="AC86" s="7"/>
      <c r="AD86" s="7"/>
      <c r="AE86" s="36"/>
      <c r="AF86" s="36"/>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DC86" s="9"/>
      <c r="DI86" s="9"/>
      <c r="DO86" s="9"/>
      <c r="DU86" s="9"/>
    </row>
    <row r="87" spans="6:125" x14ac:dyDescent="0.25">
      <c r="F87" s="7"/>
      <c r="S87" s="7"/>
      <c r="T87" s="7"/>
      <c r="U87" s="7"/>
      <c r="V87" s="7"/>
      <c r="W87" s="7"/>
      <c r="X87" s="7"/>
      <c r="Y87" s="7"/>
      <c r="Z87" s="7"/>
      <c r="AA87" s="35"/>
      <c r="AB87" s="7"/>
      <c r="AC87" s="7"/>
      <c r="AD87" s="7"/>
      <c r="AE87" s="36"/>
      <c r="AF87" s="36"/>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DC87" s="9"/>
      <c r="DI87" s="9"/>
      <c r="DO87" s="9"/>
      <c r="DU87" s="9"/>
    </row>
    <row r="88" spans="6:125" x14ac:dyDescent="0.25">
      <c r="F88" s="7"/>
      <c r="S88" s="7"/>
      <c r="T88" s="7"/>
      <c r="U88" s="7"/>
      <c r="V88" s="7"/>
      <c r="W88" s="7"/>
      <c r="X88" s="7"/>
      <c r="Y88" s="7"/>
      <c r="Z88" s="7"/>
      <c r="AA88" s="35"/>
      <c r="AB88" s="7"/>
      <c r="AC88" s="7"/>
      <c r="AD88" s="7"/>
      <c r="AE88" s="36"/>
      <c r="AF88" s="36"/>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DC88" s="9"/>
      <c r="DI88" s="9"/>
      <c r="DO88" s="9"/>
      <c r="DU88" s="9"/>
    </row>
    <row r="89" spans="6:125" x14ac:dyDescent="0.25">
      <c r="F89" s="7"/>
      <c r="S89" s="7"/>
      <c r="T89" s="7"/>
      <c r="U89" s="7"/>
      <c r="V89" s="7"/>
      <c r="W89" s="7"/>
      <c r="X89" s="7"/>
      <c r="Y89" s="7"/>
      <c r="Z89" s="7"/>
      <c r="AA89" s="35"/>
      <c r="AB89" s="7"/>
      <c r="AC89" s="7"/>
      <c r="AD89" s="7"/>
      <c r="AE89" s="36"/>
      <c r="AF89" s="36"/>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DC89" s="9"/>
      <c r="DI89" s="9"/>
      <c r="DO89" s="9"/>
      <c r="DU89" s="9"/>
    </row>
    <row r="90" spans="6:125" x14ac:dyDescent="0.25">
      <c r="F90" s="7"/>
      <c r="S90" s="7"/>
      <c r="T90" s="7"/>
      <c r="U90" s="7"/>
      <c r="V90" s="7"/>
      <c r="W90" s="7"/>
      <c r="X90" s="7"/>
      <c r="Y90" s="7"/>
      <c r="Z90" s="7"/>
      <c r="AA90" s="35"/>
      <c r="AB90" s="7"/>
      <c r="AC90" s="7"/>
      <c r="AD90" s="7"/>
      <c r="AE90" s="36"/>
      <c r="AF90" s="36"/>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DC90" s="9"/>
      <c r="DI90" s="9"/>
      <c r="DO90" s="9"/>
      <c r="DU90" s="9"/>
    </row>
    <row r="91" spans="6:125" x14ac:dyDescent="0.25">
      <c r="F91" s="7"/>
      <c r="S91" s="7"/>
      <c r="T91" s="7"/>
      <c r="U91" s="7"/>
      <c r="V91" s="7"/>
      <c r="W91" s="7"/>
      <c r="X91" s="7"/>
      <c r="Y91" s="7"/>
      <c r="Z91" s="7"/>
      <c r="AA91" s="35"/>
      <c r="AB91" s="7"/>
      <c r="AC91" s="7"/>
      <c r="AD91" s="7"/>
      <c r="AE91" s="36"/>
      <c r="AF91" s="36"/>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DC91" s="9"/>
      <c r="DI91" s="9"/>
      <c r="DO91" s="9"/>
      <c r="DU91" s="9"/>
    </row>
    <row r="92" spans="6:125" x14ac:dyDescent="0.25">
      <c r="F92" s="7"/>
      <c r="S92" s="7"/>
      <c r="T92" s="7"/>
      <c r="U92" s="7"/>
      <c r="V92" s="7"/>
      <c r="W92" s="7"/>
      <c r="X92" s="7"/>
      <c r="Y92" s="7"/>
      <c r="Z92" s="7"/>
      <c r="AA92" s="35"/>
      <c r="AB92" s="7"/>
      <c r="AC92" s="7"/>
      <c r="AD92" s="7"/>
      <c r="AE92" s="36"/>
      <c r="AF92" s="36"/>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DC92" s="9"/>
      <c r="DI92" s="9"/>
      <c r="DO92" s="9"/>
      <c r="DU92" s="9"/>
    </row>
    <row r="93" spans="6:125" x14ac:dyDescent="0.25">
      <c r="F93" s="7"/>
      <c r="S93" s="7"/>
      <c r="T93" s="7"/>
      <c r="U93" s="7"/>
      <c r="V93" s="7"/>
      <c r="W93" s="7"/>
      <c r="X93" s="7"/>
      <c r="Y93" s="7"/>
      <c r="Z93" s="7"/>
      <c r="AA93" s="35"/>
      <c r="AB93" s="7"/>
      <c r="AC93" s="7"/>
      <c r="AD93" s="7"/>
      <c r="AE93" s="36"/>
      <c r="AF93" s="36"/>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t="s">
        <v>207</v>
      </c>
      <c r="CF93" s="49">
        <v>1</v>
      </c>
      <c r="CG93" s="7"/>
      <c r="DC93" s="9"/>
      <c r="DI93" s="9"/>
      <c r="DO93" s="9"/>
      <c r="DU93" s="9"/>
    </row>
    <row r="94" spans="6:125" x14ac:dyDescent="0.25">
      <c r="F94" s="7"/>
      <c r="S94" s="7"/>
      <c r="T94" s="7"/>
      <c r="U94" s="7"/>
      <c r="V94" s="7"/>
      <c r="W94" s="7"/>
      <c r="X94" s="7"/>
      <c r="Y94" s="7"/>
      <c r="Z94" s="7"/>
      <c r="AA94" s="35"/>
      <c r="AB94" s="7"/>
      <c r="AC94" s="7"/>
      <c r="AD94" s="7"/>
      <c r="AE94" s="36"/>
      <c r="AF94" s="36"/>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f>ROW(CH$67)-ROW($CH$59)</f>
        <v>8</v>
      </c>
      <c r="CG94" s="7"/>
      <c r="DC94" s="9"/>
      <c r="DI94" s="9"/>
      <c r="DO94" s="9"/>
      <c r="DU94" s="9"/>
    </row>
    <row r="95" spans="6:125" x14ac:dyDescent="0.25">
      <c r="F95" s="7"/>
      <c r="S95" s="7"/>
      <c r="T95" s="7"/>
      <c r="U95" s="7"/>
      <c r="V95" s="7"/>
      <c r="W95" s="7"/>
      <c r="X95" s="7"/>
      <c r="Y95" s="7"/>
      <c r="Z95" s="7"/>
      <c r="AA95" s="35"/>
      <c r="AB95" s="7"/>
      <c r="AC95" s="7"/>
      <c r="AD95" s="7"/>
      <c r="AE95" s="36"/>
      <c r="AF95" s="36"/>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G95" s="7"/>
      <c r="DC95" s="9"/>
      <c r="DI95" s="9"/>
      <c r="DO95" s="9"/>
      <c r="DU95" s="9"/>
    </row>
    <row r="96" spans="6:125" x14ac:dyDescent="0.25">
      <c r="F96" s="7"/>
      <c r="S96" s="7"/>
      <c r="T96" s="7"/>
      <c r="U96" s="7"/>
      <c r="V96" s="7"/>
      <c r="W96" s="7"/>
      <c r="X96" s="7"/>
      <c r="Y96" s="7"/>
      <c r="Z96" s="7"/>
      <c r="AA96" s="35"/>
      <c r="AB96" s="7"/>
      <c r="AC96" s="7"/>
      <c r="AD96" s="7"/>
      <c r="AE96" s="36"/>
      <c r="AF96" s="36"/>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DC96" s="9"/>
      <c r="DI96" s="9"/>
      <c r="DO96" s="9"/>
      <c r="DU96" s="9"/>
    </row>
    <row r="97" spans="6:125" x14ac:dyDescent="0.25">
      <c r="F97" s="7"/>
      <c r="S97" s="7"/>
      <c r="T97" s="7"/>
      <c r="U97" s="7"/>
      <c r="V97" s="7"/>
      <c r="W97" s="7"/>
      <c r="X97" s="7"/>
      <c r="Y97" s="7"/>
      <c r="Z97" s="7"/>
      <c r="AA97" s="35"/>
      <c r="AB97" s="7"/>
      <c r="AC97" s="7"/>
      <c r="AD97" s="7"/>
      <c r="AE97" s="36"/>
      <c r="AF97" s="36"/>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DC97" s="9"/>
      <c r="DI97" s="9"/>
      <c r="DO97" s="9"/>
      <c r="DU97" s="9"/>
    </row>
    <row r="98" spans="6:125" x14ac:dyDescent="0.25">
      <c r="F98" s="7"/>
      <c r="S98" s="7"/>
      <c r="T98" s="7"/>
      <c r="U98" s="7"/>
      <c r="V98" s="7"/>
      <c r="W98" s="7"/>
      <c r="X98" s="7"/>
      <c r="Y98" s="7"/>
      <c r="Z98" s="7"/>
      <c r="AA98" s="35"/>
      <c r="AB98" s="7"/>
      <c r="AC98" s="7"/>
      <c r="AD98" s="7"/>
      <c r="AE98" s="36"/>
      <c r="AF98" s="36"/>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t="str">
        <f ca="1">IF(SUM(OFFSET($Q$59,$CF$93*$CF$94,0,5,1))&lt;5,"Not having IR price separation between islands is not possible if HVDC energy transfer is above level where all IR must be procured in receiving island.",".")</f>
        <v>.</v>
      </c>
      <c r="CG98" s="7"/>
      <c r="DC98" s="9"/>
      <c r="DI98" s="9"/>
      <c r="DO98" s="9"/>
      <c r="DU98" s="9"/>
    </row>
    <row r="99" spans="6:125" x14ac:dyDescent="0.25">
      <c r="F99" s="7"/>
      <c r="S99" s="7"/>
      <c r="T99" s="7"/>
      <c r="U99" s="7"/>
      <c r="V99" s="7"/>
      <c r="W99" s="7"/>
      <c r="X99" s="7"/>
      <c r="Y99" s="7"/>
      <c r="Z99" s="7"/>
      <c r="AA99" s="35"/>
      <c r="AB99" s="7"/>
      <c r="AC99" s="7"/>
      <c r="AD99" s="7"/>
      <c r="AE99" s="36"/>
      <c r="AF99" s="36"/>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DC99" s="9"/>
      <c r="DI99" s="9"/>
      <c r="DO99" s="9"/>
      <c r="DU99" s="9"/>
    </row>
    <row r="100" spans="6:125" x14ac:dyDescent="0.25">
      <c r="F100" s="7"/>
      <c r="P100" t="s">
        <v>205</v>
      </c>
      <c r="S100" s="7"/>
      <c r="T100" s="7"/>
      <c r="U100" s="7"/>
      <c r="V100" s="7"/>
      <c r="W100" s="7"/>
      <c r="X100" s="7"/>
      <c r="Y100" s="7"/>
      <c r="Z100" s="7"/>
      <c r="AA100" s="35"/>
      <c r="AB100" s="7"/>
      <c r="AC100" s="7"/>
      <c r="AD100" s="7"/>
      <c r="AE100" s="36"/>
      <c r="AF100" s="36"/>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t="str">
        <f ca="1">"General allocation approach = "&amp;IF(Pro_Or_Run="P","Pro-rata above "&amp;DeMinimis&amp;"MW de minimis","Runway")&amp;".
"&amp;IF(LargeThermal_Flag=0,"Retirement of all four large thermals","No large thermals are retired")&amp;".
"&amp;OFFSET($CD$59,$CF$93*$CF$94,0)</f>
        <v>General allocation approach = Runway.
No large thermals are retired.
SI IR price = $1/MW/h, 
NI IR price = $10/MW/h</v>
      </c>
      <c r="CG100" s="7"/>
      <c r="DC100" s="9"/>
      <c r="DI100" s="9"/>
      <c r="DO100" s="9"/>
      <c r="DU100" s="9"/>
    </row>
    <row r="101" spans="6:125" x14ac:dyDescent="0.25">
      <c r="AA101" s="12"/>
      <c r="CD101" s="7"/>
      <c r="CE101" s="7"/>
      <c r="CF101" s="7" t="str">
        <f ca="1">OFFSET($CG$58,$CF$93*$CF$94,0)</f>
        <v>Energy transfer across HVDC
[NI DC CE risk]</v>
      </c>
      <c r="CG101" s="7"/>
      <c r="CH101" s="9" t="str">
        <f>CH7</f>
        <v>North gen. &gt; de minimis</v>
      </c>
      <c r="CI101" s="9" t="str">
        <f>CI7</f>
        <v>South gen. &gt; de minimis</v>
      </c>
      <c r="CJ101" s="9" t="str">
        <f>CJ7</f>
        <v>HVDC</v>
      </c>
      <c r="CK101" t="s">
        <v>17</v>
      </c>
    </row>
    <row r="102" spans="6:125" x14ac:dyDescent="0.25">
      <c r="BR102" t="s">
        <v>168</v>
      </c>
      <c r="BS102" t="s">
        <v>172</v>
      </c>
      <c r="BT102" t="s">
        <v>169</v>
      </c>
      <c r="CD102" s="1">
        <v>1</v>
      </c>
      <c r="CE102" s="1">
        <v>1</v>
      </c>
      <c r="CF102" t="str">
        <f ca="1">OFFSET($CG$59,$CD102-1+$CF$93*$CF$94,0)</f>
        <v>0 MW
[0 MW]</v>
      </c>
      <c r="CG102" s="7" t="str">
        <f t="shared" ref="CG102:CG121" ca="1" si="346">OFFSET($CH$6,0,($CE102-1)*3)</f>
        <v>Island</v>
      </c>
      <c r="CH102" s="7">
        <f ca="1">OFFSET(CH$59,$CD102-1+$CF$93*$CF$94,($CE102-1)*3)</f>
        <v>1800</v>
      </c>
      <c r="CI102" s="7">
        <f t="shared" ref="CI102:CJ102" ca="1" si="347">OFFSET(CI$59,$CD102-1+$CF$93*$CF$94,($CE102-1)*3)</f>
        <v>220</v>
      </c>
      <c r="CJ102" s="7">
        <f t="shared" ca="1" si="347"/>
        <v>0</v>
      </c>
      <c r="CK102" s="9">
        <f ca="1">SUM(CH102:CJ102)</f>
        <v>2020</v>
      </c>
    </row>
    <row r="103" spans="6:125" x14ac:dyDescent="0.25">
      <c r="BR103" s="38">
        <f ca="1">BR59</f>
        <v>0.79761451621591573</v>
      </c>
      <c r="BS103" s="38">
        <f ca="1">BT59</f>
        <v>8.3784848927162189E-3</v>
      </c>
      <c r="BT103" s="38">
        <f ca="1">BS59</f>
        <v>0.19400699889136805</v>
      </c>
      <c r="CD103">
        <f>CD102</f>
        <v>1</v>
      </c>
      <c r="CE103" s="1">
        <v>2</v>
      </c>
      <c r="CG103" s="7" t="str">
        <f t="shared" ca="1" si="346"/>
        <v>National</v>
      </c>
      <c r="CH103" s="7">
        <f t="shared" ref="CH103:CJ121" ca="1" si="348">OFFSET(CH$59,$CD103-1+$CF$93*$CF$94,($CE103-1)*3)</f>
        <v>1616.9888135179058</v>
      </c>
      <c r="CI103" s="7">
        <f t="shared" ca="1" si="348"/>
        <v>403.01118648209433</v>
      </c>
      <c r="CJ103" s="7">
        <f t="shared" ca="1" si="348"/>
        <v>0</v>
      </c>
      <c r="CK103" s="9">
        <f t="shared" ref="CK103:CK121" ca="1" si="349">SUM(CH103:CJ103)</f>
        <v>2020</v>
      </c>
    </row>
    <row r="104" spans="6:125" x14ac:dyDescent="0.25">
      <c r="CD104">
        <f t="shared" ref="CD104:CD106" si="350">CD103</f>
        <v>1</v>
      </c>
      <c r="CE104" s="1">
        <v>3</v>
      </c>
      <c r="CG104" s="7" t="str">
        <f t="shared" ca="1" si="346"/>
        <v>Factored by sharing limit</v>
      </c>
      <c r="CH104" s="7">
        <f t="shared" ca="1" si="348"/>
        <v>1699.3438474348482</v>
      </c>
      <c r="CI104" s="7">
        <f t="shared" ca="1" si="348"/>
        <v>320.6561525651519</v>
      </c>
      <c r="CJ104" s="7">
        <f t="shared" ca="1" si="348"/>
        <v>0</v>
      </c>
      <c r="CK104" s="9">
        <f t="shared" ca="1" si="349"/>
        <v>2020</v>
      </c>
      <c r="CX104" t="str">
        <f>CX7</f>
        <v>Earned</v>
      </c>
      <c r="CY104" t="str">
        <f>CY7</f>
        <v>Allocated</v>
      </c>
      <c r="CZ104" t="str">
        <f>CZ7</f>
        <v>Net</v>
      </c>
    </row>
    <row r="105" spans="6:125" x14ac:dyDescent="0.25">
      <c r="CD105">
        <f t="shared" si="350"/>
        <v>1</v>
      </c>
      <c r="CE105" s="1">
        <v>4</v>
      </c>
      <c r="CG105" s="7" t="str">
        <f t="shared" ca="1" si="346"/>
        <v>Cost to island causer</v>
      </c>
      <c r="CH105" s="7">
        <f t="shared" ca="1" si="348"/>
        <v>1995.6597204203883</v>
      </c>
      <c r="CI105" s="7">
        <f t="shared" ca="1" si="348"/>
        <v>24.340279579611639</v>
      </c>
      <c r="CJ105" s="7">
        <f t="shared" ca="1" si="348"/>
        <v>0</v>
      </c>
      <c r="CK105" s="9">
        <f t="shared" ca="1" si="349"/>
        <v>2020</v>
      </c>
      <c r="CO105" s="16">
        <f>$CD$102</f>
        <v>1</v>
      </c>
      <c r="CP105" s="1">
        <v>0</v>
      </c>
      <c r="CQ105" s="1">
        <v>1</v>
      </c>
      <c r="CR105" t="str">
        <f ca="1">OFFSET($CG$59,$CO105-1+$CF$93*$CF$94,0)&amp;" IR transferred"</f>
        <v>0 MW
[0 MW] IR transferred</v>
      </c>
      <c r="CS105" t="str">
        <f ca="1">OFFSET($CX$6,0,($CQ105-1)*6+$CP105)</f>
        <v>North</v>
      </c>
      <c r="CW105" t="str">
        <f ca="1">OFFSET($CX$5,0,($CQ105-1)*6+$CP105)</f>
        <v>Island</v>
      </c>
      <c r="CX105" s="7">
        <f ca="1">OFFSET(CX$59,$CO105-1+$CF$93*$CF$94,($CQ105-1)*6+$CP105)</f>
        <v>1800</v>
      </c>
      <c r="CY105" s="7">
        <f t="shared" ref="CY105:CZ105" ca="1" si="351">OFFSET(CY$59,$CO105-1+$CF$93*$CF$94,($CQ105-1)*6+$CP105)</f>
        <v>-1800</v>
      </c>
      <c r="CZ105" s="7">
        <f t="shared" ca="1" si="351"/>
        <v>0</v>
      </c>
    </row>
    <row r="106" spans="6:125" x14ac:dyDescent="0.25">
      <c r="CD106">
        <f t="shared" si="350"/>
        <v>1</v>
      </c>
      <c r="CE106" s="1">
        <v>5</v>
      </c>
      <c r="CG106" s="7" t="str">
        <f t="shared" ca="1" si="346"/>
        <v>Cost to DC then island</v>
      </c>
      <c r="CH106" s="7">
        <f t="shared" ca="1" si="348"/>
        <v>1995.6597204203883</v>
      </c>
      <c r="CI106" s="7">
        <f t="shared" ca="1" si="348"/>
        <v>24.340279579611639</v>
      </c>
      <c r="CJ106" s="7">
        <f t="shared" ca="1" si="348"/>
        <v>0</v>
      </c>
      <c r="CK106" s="9">
        <f t="shared" ca="1" si="349"/>
        <v>2020</v>
      </c>
      <c r="CO106">
        <f>CO105</f>
        <v>1</v>
      </c>
      <c r="CP106" s="1">
        <v>0</v>
      </c>
      <c r="CQ106" s="1">
        <v>2</v>
      </c>
      <c r="CW106" t="str">
        <f ca="1">OFFSET($CX$5,0,($CQ106-1)*6+$CP106)</f>
        <v>National</v>
      </c>
      <c r="CX106" s="7">
        <f t="shared" ref="CX106:CZ128" ca="1" si="352">OFFSET(CX$59,$CO106-1+$CF$93*$CF$94,($CQ106-1)*6+$CP106)</f>
        <v>1800</v>
      </c>
      <c r="CY106" s="7">
        <f t="shared" ca="1" si="352"/>
        <v>-1616.9888135179058</v>
      </c>
      <c r="CZ106" s="7">
        <f t="shared" ca="1" si="352"/>
        <v>183.01118648209422</v>
      </c>
    </row>
    <row r="107" spans="6:125" x14ac:dyDescent="0.25">
      <c r="CD107" s="1">
        <v>2</v>
      </c>
      <c r="CE107">
        <f>CE102</f>
        <v>1</v>
      </c>
      <c r="CF107" t="str">
        <f ca="1">OFFSET($CG$59,$CD107-1+$CF$93*$CF$94,0)</f>
        <v>700 MW
[202 MW]</v>
      </c>
      <c r="CG107" s="7" t="str">
        <f t="shared" ca="1" si="346"/>
        <v>Island</v>
      </c>
      <c r="CH107" s="7">
        <f t="shared" ca="1" si="348"/>
        <v>1820.667129951355</v>
      </c>
      <c r="CI107" s="7">
        <f t="shared" ca="1" si="348"/>
        <v>198</v>
      </c>
      <c r="CJ107" s="7">
        <f t="shared" ca="1" si="348"/>
        <v>199.33287004864488</v>
      </c>
      <c r="CK107" s="9">
        <f t="shared" ca="1" si="349"/>
        <v>2218</v>
      </c>
      <c r="CO107">
        <f t="shared" ref="CO107:CO112" si="353">CO106</f>
        <v>1</v>
      </c>
      <c r="CP107" s="1">
        <v>0</v>
      </c>
      <c r="CQ107" s="1">
        <v>3</v>
      </c>
      <c r="CW107" t="str">
        <f ca="1">OFFSET($CX$5,0,($CQ107-1)*6+$CP107)</f>
        <v>Factored by sharing limit</v>
      </c>
      <c r="CX107" s="7">
        <f t="shared" ca="1" si="352"/>
        <v>1800</v>
      </c>
      <c r="CY107" s="7">
        <f t="shared" ca="1" si="352"/>
        <v>-1699.3438474348482</v>
      </c>
      <c r="CZ107" s="7">
        <f t="shared" ca="1" si="352"/>
        <v>100.65615256515184</v>
      </c>
    </row>
    <row r="108" spans="6:125" x14ac:dyDescent="0.25">
      <c r="CD108">
        <f t="shared" ref="CD108:CD121" si="354">CD107</f>
        <v>2</v>
      </c>
      <c r="CE108">
        <f t="shared" ref="CE108:CE121" si="355">CE103</f>
        <v>2</v>
      </c>
      <c r="CG108" s="7" t="str">
        <f t="shared" ca="1" si="346"/>
        <v>National</v>
      </c>
      <c r="CH108" s="7">
        <f t="shared" ca="1" si="348"/>
        <v>1680.2466083922393</v>
      </c>
      <c r="CI108" s="7">
        <f t="shared" ca="1" si="348"/>
        <v>425.47864816398015</v>
      </c>
      <c r="CJ108" s="7">
        <f t="shared" ca="1" si="348"/>
        <v>112.27474344378041</v>
      </c>
      <c r="CK108" s="9">
        <f t="shared" ca="1" si="349"/>
        <v>2218</v>
      </c>
      <c r="CO108">
        <f t="shared" si="353"/>
        <v>1</v>
      </c>
      <c r="CP108" s="1">
        <v>0</v>
      </c>
      <c r="CQ108" s="1">
        <v>4</v>
      </c>
      <c r="CW108" t="str">
        <f ca="1">OFFSET($CX$5,0,($CQ108-1)*6+$CP108)</f>
        <v>Cost to island causer</v>
      </c>
      <c r="CX108" s="7">
        <f t="shared" ca="1" si="352"/>
        <v>1800</v>
      </c>
      <c r="CY108" s="7">
        <f t="shared" ca="1" si="352"/>
        <v>-1995.6597204203883</v>
      </c>
      <c r="CZ108" s="7">
        <f t="shared" ca="1" si="352"/>
        <v>-195.65972042038834</v>
      </c>
    </row>
    <row r="109" spans="6:125" x14ac:dyDescent="0.25">
      <c r="CD109">
        <f t="shared" si="354"/>
        <v>2</v>
      </c>
      <c r="CE109">
        <f t="shared" si="355"/>
        <v>3</v>
      </c>
      <c r="CG109" s="7" t="str">
        <f t="shared" ca="1" si="346"/>
        <v>Factored by sharing limit</v>
      </c>
      <c r="CH109" s="7">
        <f t="shared" ca="1" si="348"/>
        <v>1743.4358430938414</v>
      </c>
      <c r="CI109" s="7">
        <f t="shared" ca="1" si="348"/>
        <v>323.11325649018909</v>
      </c>
      <c r="CJ109" s="7">
        <f t="shared" ca="1" si="348"/>
        <v>151.45090041596941</v>
      </c>
      <c r="CK109" s="9">
        <f t="shared" ca="1" si="349"/>
        <v>2218</v>
      </c>
      <c r="CO109">
        <f t="shared" si="353"/>
        <v>1</v>
      </c>
      <c r="CP109" s="1">
        <v>3</v>
      </c>
      <c r="CQ109">
        <f>CQ105</f>
        <v>1</v>
      </c>
      <c r="CS109" t="str">
        <f ca="1">OFFSET($CX$6,0,($CQ109-1)*6+$CP109)</f>
        <v>South</v>
      </c>
      <c r="CW109" s="16" t="str">
        <f ca="1">CW105</f>
        <v>Island</v>
      </c>
      <c r="CX109" s="7">
        <f t="shared" ca="1" si="352"/>
        <v>220</v>
      </c>
      <c r="CY109" s="7">
        <f t="shared" ca="1" si="352"/>
        <v>-220</v>
      </c>
      <c r="CZ109" s="7">
        <f t="shared" ca="1" si="352"/>
        <v>0</v>
      </c>
    </row>
    <row r="110" spans="6:125" x14ac:dyDescent="0.25">
      <c r="CD110">
        <f t="shared" si="354"/>
        <v>2</v>
      </c>
      <c r="CE110">
        <f t="shared" si="355"/>
        <v>4</v>
      </c>
      <c r="CG110" s="7" t="str">
        <f t="shared" ca="1" si="346"/>
        <v>Cost to island causer</v>
      </c>
      <c r="CH110" s="7">
        <f t="shared" ca="1" si="348"/>
        <v>2057.1379818536257</v>
      </c>
      <c r="CI110" s="7">
        <f t="shared" ca="1" si="348"/>
        <v>23.403243947703146</v>
      </c>
      <c r="CJ110" s="7">
        <f t="shared" ca="1" si="348"/>
        <v>137.45877419867125</v>
      </c>
      <c r="CK110" s="9">
        <f t="shared" ca="1" si="349"/>
        <v>2218</v>
      </c>
      <c r="CO110">
        <f t="shared" si="353"/>
        <v>1</v>
      </c>
      <c r="CP110" s="1">
        <v>3</v>
      </c>
      <c r="CQ110">
        <f t="shared" ref="CQ110:CQ112" si="356">CQ106</f>
        <v>2</v>
      </c>
      <c r="CW110" s="16" t="str">
        <f ca="1">CW106</f>
        <v>National</v>
      </c>
      <c r="CX110" s="7">
        <f t="shared" ca="1" si="352"/>
        <v>220</v>
      </c>
      <c r="CY110" s="7">
        <f t="shared" ca="1" si="352"/>
        <v>-403.01118648209433</v>
      </c>
      <c r="CZ110" s="7">
        <f t="shared" ca="1" si="352"/>
        <v>-183.01118648209433</v>
      </c>
    </row>
    <row r="111" spans="6:125" x14ac:dyDescent="0.25">
      <c r="CD111">
        <f t="shared" ref="CD111" si="357">CD110</f>
        <v>2</v>
      </c>
      <c r="CE111">
        <f t="shared" si="355"/>
        <v>5</v>
      </c>
      <c r="CG111" s="7" t="str">
        <f t="shared" ca="1" si="346"/>
        <v>Cost to DC then island</v>
      </c>
      <c r="CH111" s="7">
        <f t="shared" ca="1" si="348"/>
        <v>1860.6057538981252</v>
      </c>
      <c r="CI111" s="7">
        <f t="shared" ca="1" si="348"/>
        <v>24.651076827039855</v>
      </c>
      <c r="CJ111" s="7">
        <f t="shared" ca="1" si="348"/>
        <v>332.74316927483517</v>
      </c>
      <c r="CK111" s="9">
        <f t="shared" ca="1" si="349"/>
        <v>2218</v>
      </c>
      <c r="CO111">
        <f t="shared" si="353"/>
        <v>1</v>
      </c>
      <c r="CP111" s="1">
        <v>3</v>
      </c>
      <c r="CQ111">
        <f t="shared" si="356"/>
        <v>3</v>
      </c>
      <c r="CW111" s="16" t="str">
        <f ca="1">CW107</f>
        <v>Factored by sharing limit</v>
      </c>
      <c r="CX111" s="7">
        <f t="shared" ca="1" si="352"/>
        <v>220</v>
      </c>
      <c r="CY111" s="7">
        <f t="shared" ca="1" si="352"/>
        <v>-320.6561525651519</v>
      </c>
      <c r="CZ111" s="7">
        <f t="shared" ca="1" si="352"/>
        <v>-100.6561525651519</v>
      </c>
    </row>
    <row r="112" spans="6:125" x14ac:dyDescent="0.25">
      <c r="CD112" s="1">
        <v>4</v>
      </c>
      <c r="CE112">
        <f t="shared" si="355"/>
        <v>1</v>
      </c>
      <c r="CF112" t="str">
        <f ca="1">OFFSET($CG$59,$CD112-1+$CF$93*$CF$94,0)</f>
        <v>900 MW
[402 MW]</v>
      </c>
      <c r="CG112" s="7" t="str">
        <f t="shared" ca="1" si="346"/>
        <v>Island</v>
      </c>
      <c r="CH112" s="7">
        <f t="shared" ca="1" si="348"/>
        <v>3181.171446003661</v>
      </c>
      <c r="CI112" s="7">
        <f t="shared" ca="1" si="348"/>
        <v>0</v>
      </c>
      <c r="CJ112" s="7">
        <f t="shared" ca="1" si="348"/>
        <v>838.82855399633922</v>
      </c>
      <c r="CK112" s="9">
        <f t="shared" ca="1" si="349"/>
        <v>4020</v>
      </c>
      <c r="CO112">
        <f t="shared" si="353"/>
        <v>1</v>
      </c>
      <c r="CP112" s="1">
        <v>3</v>
      </c>
      <c r="CQ112">
        <f t="shared" si="356"/>
        <v>4</v>
      </c>
      <c r="CW112" s="16" t="str">
        <f ca="1">CW108</f>
        <v>Cost to island causer</v>
      </c>
      <c r="CX112" s="7">
        <f t="shared" ca="1" si="352"/>
        <v>220</v>
      </c>
      <c r="CY112" s="7">
        <f t="shared" ca="1" si="352"/>
        <v>-24.340279579611639</v>
      </c>
      <c r="CZ112" s="7">
        <f t="shared" ca="1" si="352"/>
        <v>195.65972042038837</v>
      </c>
    </row>
    <row r="113" spans="6:104" x14ac:dyDescent="0.25">
      <c r="F113" s="37"/>
      <c r="CD113">
        <f t="shared" si="354"/>
        <v>4</v>
      </c>
      <c r="CE113">
        <f t="shared" si="355"/>
        <v>2</v>
      </c>
      <c r="CG113" s="7" t="str">
        <f t="shared" ca="1" si="346"/>
        <v>National</v>
      </c>
      <c r="CH113" s="7">
        <f t="shared" ca="1" si="348"/>
        <v>2409.2012775333451</v>
      </c>
      <c r="CI113" s="7">
        <f t="shared" ca="1" si="348"/>
        <v>767.3194736951848</v>
      </c>
      <c r="CJ113" s="7">
        <f t="shared" ca="1" si="348"/>
        <v>843.47924877146988</v>
      </c>
      <c r="CK113" s="9">
        <f t="shared" ca="1" si="349"/>
        <v>4019.9999999999995</v>
      </c>
      <c r="CO113" s="16">
        <f>$CD$106</f>
        <v>1</v>
      </c>
      <c r="CP113">
        <f>CP105</f>
        <v>0</v>
      </c>
      <c r="CQ113">
        <f>CQ105</f>
        <v>1</v>
      </c>
      <c r="CR113" t="str">
        <f ca="1">OFFSET($CG$59,$CO113-1+$CF$93*$CF$94,0)&amp;" IR transferred"</f>
        <v>0 MW
[0 MW] IR transferred</v>
      </c>
      <c r="CS113" t="str">
        <f ca="1">OFFSET($CX$6,0,($CQ113-1)*6+$CP113)</f>
        <v>North</v>
      </c>
      <c r="CW113" t="str">
        <f ca="1">OFFSET($CX$5,0,($CQ113-1)*6+$CP113)</f>
        <v>Island</v>
      </c>
      <c r="CX113" s="7">
        <f t="shared" ca="1" si="352"/>
        <v>1800</v>
      </c>
      <c r="CY113" s="7">
        <f t="shared" ca="1" si="352"/>
        <v>-1800</v>
      </c>
      <c r="CZ113" s="7">
        <f t="shared" ca="1" si="352"/>
        <v>0</v>
      </c>
    </row>
    <row r="114" spans="6:104" x14ac:dyDescent="0.25">
      <c r="CD114">
        <f t="shared" si="354"/>
        <v>4</v>
      </c>
      <c r="CE114">
        <f t="shared" si="355"/>
        <v>3</v>
      </c>
      <c r="CG114" s="7" t="str">
        <f t="shared" ca="1" si="346"/>
        <v>Factored by sharing limit</v>
      </c>
      <c r="CH114" s="7">
        <f t="shared" ca="1" si="348"/>
        <v>2797.1066855706681</v>
      </c>
      <c r="CI114" s="7">
        <f t="shared" ca="1" si="348"/>
        <v>381.75098193790291</v>
      </c>
      <c r="CJ114" s="7">
        <f t="shared" ca="1" si="348"/>
        <v>841.14233249142922</v>
      </c>
      <c r="CK114" s="9">
        <f t="shared" ca="1" si="349"/>
        <v>4020</v>
      </c>
      <c r="CO114">
        <f>CO113</f>
        <v>1</v>
      </c>
      <c r="CP114">
        <f t="shared" ref="CP114:CQ128" si="358">CP106</f>
        <v>0</v>
      </c>
      <c r="CQ114">
        <f t="shared" si="358"/>
        <v>2</v>
      </c>
      <c r="CW114" t="str">
        <f ca="1">OFFSET($CX$5,0,($CQ114-1)*6+$CP114)</f>
        <v>National</v>
      </c>
      <c r="CX114" s="7">
        <f t="shared" ca="1" si="352"/>
        <v>1800</v>
      </c>
      <c r="CY114" s="7">
        <f t="shared" ca="1" si="352"/>
        <v>-1616.9888135179058</v>
      </c>
      <c r="CZ114" s="7">
        <f t="shared" ca="1" si="352"/>
        <v>183.01118648209422</v>
      </c>
    </row>
    <row r="115" spans="6:104" x14ac:dyDescent="0.25">
      <c r="CD115">
        <f t="shared" si="354"/>
        <v>4</v>
      </c>
      <c r="CE115">
        <f t="shared" si="355"/>
        <v>4</v>
      </c>
      <c r="CG115" s="7" t="str">
        <f t="shared" ca="1" si="346"/>
        <v>Cost to island causer</v>
      </c>
      <c r="CH115" s="7">
        <f t="shared" ca="1" si="348"/>
        <v>2805.059685491085</v>
      </c>
      <c r="CI115" s="7">
        <f t="shared" ca="1" si="348"/>
        <v>232.86809898212078</v>
      </c>
      <c r="CJ115" s="7">
        <f t="shared" ca="1" si="348"/>
        <v>982.07221552679448</v>
      </c>
      <c r="CK115" s="9">
        <f t="shared" ca="1" si="349"/>
        <v>4020.0000000000005</v>
      </c>
      <c r="CO115">
        <f t="shared" ref="CO115:CO120" si="359">CO114</f>
        <v>1</v>
      </c>
      <c r="CP115">
        <f t="shared" si="358"/>
        <v>0</v>
      </c>
      <c r="CQ115">
        <f t="shared" si="358"/>
        <v>3</v>
      </c>
      <c r="CW115" t="str">
        <f ca="1">OFFSET($CX$5,0,($CQ115-1)*6+$CP115)</f>
        <v>Factored by sharing limit</v>
      </c>
      <c r="CX115" s="7">
        <f t="shared" ca="1" si="352"/>
        <v>1800</v>
      </c>
      <c r="CY115" s="7">
        <f t="shared" ca="1" si="352"/>
        <v>-1699.3438474348482</v>
      </c>
      <c r="CZ115" s="7">
        <f t="shared" ca="1" si="352"/>
        <v>100.65615256515184</v>
      </c>
    </row>
    <row r="116" spans="6:104" x14ac:dyDescent="0.25">
      <c r="CD116">
        <f t="shared" si="354"/>
        <v>4</v>
      </c>
      <c r="CE116">
        <f t="shared" si="355"/>
        <v>5</v>
      </c>
      <c r="CG116" s="7" t="str">
        <f t="shared" ca="1" si="346"/>
        <v>Cost to DC then island</v>
      </c>
      <c r="CH116" s="7">
        <f t="shared" ca="1" si="348"/>
        <v>1333.2272458022624</v>
      </c>
      <c r="CI116" s="7">
        <f t="shared" ca="1" si="348"/>
        <v>0</v>
      </c>
      <c r="CJ116" s="7">
        <f t="shared" ca="1" si="348"/>
        <v>2686.7727541977379</v>
      </c>
      <c r="CK116" s="9">
        <f t="shared" ca="1" si="349"/>
        <v>4020</v>
      </c>
      <c r="CO116">
        <f t="shared" si="359"/>
        <v>1</v>
      </c>
      <c r="CP116">
        <f t="shared" si="358"/>
        <v>0</v>
      </c>
      <c r="CQ116">
        <f t="shared" si="358"/>
        <v>4</v>
      </c>
      <c r="CW116" t="str">
        <f ca="1">OFFSET($CX$5,0,($CQ116-1)*6+$CP116)</f>
        <v>Cost to island causer</v>
      </c>
      <c r="CX116" s="7">
        <f t="shared" ca="1" si="352"/>
        <v>1800</v>
      </c>
      <c r="CY116" s="7">
        <f t="shared" ca="1" si="352"/>
        <v>-1995.6597204203883</v>
      </c>
      <c r="CZ116" s="7">
        <f t="shared" ca="1" si="352"/>
        <v>-195.65972042038834</v>
      </c>
    </row>
    <row r="117" spans="6:104" x14ac:dyDescent="0.25">
      <c r="CD117" s="1">
        <v>5</v>
      </c>
      <c r="CE117">
        <f t="shared" si="355"/>
        <v>1</v>
      </c>
      <c r="CF117" t="str">
        <f ca="1">OFFSET($CG$59,$CD117-1+$CF$93*$CF$94,0)</f>
        <v>1000 MW
[502 MW]</v>
      </c>
      <c r="CG117" s="7" t="str">
        <f t="shared" ca="1" si="346"/>
        <v>Island</v>
      </c>
      <c r="CH117" s="7">
        <f t="shared" ca="1" si="348"/>
        <v>3744.0713053479012</v>
      </c>
      <c r="CI117" s="7">
        <f t="shared" ca="1" si="348"/>
        <v>0</v>
      </c>
      <c r="CJ117" s="7">
        <f t="shared" ca="1" si="348"/>
        <v>1275.928694652099</v>
      </c>
      <c r="CK117" s="9">
        <f t="shared" ca="1" si="349"/>
        <v>5020</v>
      </c>
      <c r="CO117">
        <f t="shared" si="359"/>
        <v>1</v>
      </c>
      <c r="CP117">
        <f t="shared" si="358"/>
        <v>3</v>
      </c>
      <c r="CQ117">
        <f t="shared" si="358"/>
        <v>1</v>
      </c>
      <c r="CS117" t="str">
        <f ca="1">OFFSET($CX$6,0,($CQ117-1)*6+$CP117)</f>
        <v>South</v>
      </c>
      <c r="CW117" s="16" t="str">
        <f ca="1">CW113</f>
        <v>Island</v>
      </c>
      <c r="CX117" s="7">
        <f t="shared" ca="1" si="352"/>
        <v>220</v>
      </c>
      <c r="CY117" s="7">
        <f t="shared" ca="1" si="352"/>
        <v>-220</v>
      </c>
      <c r="CZ117" s="7">
        <f t="shared" ca="1" si="352"/>
        <v>0</v>
      </c>
    </row>
    <row r="118" spans="6:104" x14ac:dyDescent="0.25">
      <c r="CD118">
        <f t="shared" ref="CD118:CD119" si="360">CD117</f>
        <v>5</v>
      </c>
      <c r="CE118">
        <f t="shared" si="355"/>
        <v>2</v>
      </c>
      <c r="CG118" s="7" t="str">
        <f t="shared" ca="1" si="346"/>
        <v>National</v>
      </c>
      <c r="CH118" s="7">
        <f t="shared" ca="1" si="348"/>
        <v>2409.201277533346</v>
      </c>
      <c r="CI118" s="7">
        <f t="shared" ca="1" si="348"/>
        <v>767.31947369518502</v>
      </c>
      <c r="CJ118" s="7">
        <f t="shared" ca="1" si="348"/>
        <v>1843.4792487714694</v>
      </c>
      <c r="CK118" s="9">
        <f t="shared" ca="1" si="349"/>
        <v>5020</v>
      </c>
      <c r="CO118">
        <f t="shared" si="359"/>
        <v>1</v>
      </c>
      <c r="CP118">
        <f t="shared" si="358"/>
        <v>3</v>
      </c>
      <c r="CQ118">
        <f t="shared" si="358"/>
        <v>2</v>
      </c>
      <c r="CW118" s="16" t="str">
        <f ca="1">CW114</f>
        <v>National</v>
      </c>
      <c r="CX118" s="7">
        <f t="shared" ca="1" si="352"/>
        <v>220</v>
      </c>
      <c r="CY118" s="7">
        <f t="shared" ca="1" si="352"/>
        <v>-403.01118648209433</v>
      </c>
      <c r="CZ118" s="7">
        <f t="shared" ca="1" si="352"/>
        <v>-183.01118648209433</v>
      </c>
    </row>
    <row r="119" spans="6:104" x14ac:dyDescent="0.25">
      <c r="CD119">
        <f t="shared" si="360"/>
        <v>5</v>
      </c>
      <c r="CE119">
        <f t="shared" si="355"/>
        <v>3</v>
      </c>
      <c r="CG119" s="7" t="str">
        <f t="shared" ca="1" si="346"/>
        <v>Factored by sharing limit</v>
      </c>
      <c r="CH119" s="7">
        <f t="shared" ca="1" si="348"/>
        <v>3478.1609412414159</v>
      </c>
      <c r="CI119" s="7">
        <f t="shared" ca="1" si="348"/>
        <v>152.85248479983764</v>
      </c>
      <c r="CJ119" s="7">
        <f t="shared" ca="1" si="348"/>
        <v>1388.9865739587465</v>
      </c>
      <c r="CK119" s="9">
        <f t="shared" ca="1" si="349"/>
        <v>5020</v>
      </c>
      <c r="CO119">
        <f t="shared" si="359"/>
        <v>1</v>
      </c>
      <c r="CP119">
        <f t="shared" si="358"/>
        <v>3</v>
      </c>
      <c r="CQ119">
        <f t="shared" si="358"/>
        <v>3</v>
      </c>
      <c r="CW119" s="16" t="str">
        <f ca="1">CW115</f>
        <v>Factored by sharing limit</v>
      </c>
      <c r="CX119" s="7">
        <f t="shared" ca="1" si="352"/>
        <v>220</v>
      </c>
      <c r="CY119" s="7">
        <f t="shared" ca="1" si="352"/>
        <v>-320.6561525651519</v>
      </c>
      <c r="CZ119" s="7">
        <f t="shared" ca="1" si="352"/>
        <v>-100.6561525651519</v>
      </c>
    </row>
    <row r="120" spans="6:104" x14ac:dyDescent="0.25">
      <c r="CD120">
        <f t="shared" si="354"/>
        <v>5</v>
      </c>
      <c r="CE120">
        <f t="shared" si="355"/>
        <v>4</v>
      </c>
      <c r="CG120" s="7" t="str">
        <f t="shared" ca="1" si="346"/>
        <v>Cost to island causer</v>
      </c>
      <c r="CH120" s="7">
        <f t="shared" ca="1" si="348"/>
        <v>2738.2547104515224</v>
      </c>
      <c r="CI120" s="7">
        <f t="shared" ca="1" si="348"/>
        <v>186.48003145580194</v>
      </c>
      <c r="CJ120" s="7">
        <f t="shared" ca="1" si="348"/>
        <v>2095.2652580926756</v>
      </c>
      <c r="CK120" s="9">
        <f t="shared" ca="1" si="349"/>
        <v>5020</v>
      </c>
      <c r="CO120">
        <f t="shared" si="359"/>
        <v>1</v>
      </c>
      <c r="CP120">
        <f t="shared" si="358"/>
        <v>3</v>
      </c>
      <c r="CQ120">
        <f t="shared" si="358"/>
        <v>4</v>
      </c>
      <c r="CW120" s="16" t="str">
        <f ca="1">CW116</f>
        <v>Cost to island causer</v>
      </c>
      <c r="CX120" s="7">
        <f t="shared" ca="1" si="352"/>
        <v>220</v>
      </c>
      <c r="CY120" s="7">
        <f t="shared" ca="1" si="352"/>
        <v>-24.340279579611639</v>
      </c>
      <c r="CZ120" s="7">
        <f t="shared" ca="1" si="352"/>
        <v>195.65972042038837</v>
      </c>
    </row>
    <row r="121" spans="6:104" x14ac:dyDescent="0.25">
      <c r="CD121">
        <f t="shared" si="354"/>
        <v>5</v>
      </c>
      <c r="CE121">
        <f t="shared" si="355"/>
        <v>5</v>
      </c>
      <c r="CG121" s="7" t="str">
        <f t="shared" ca="1" si="346"/>
        <v>Cost to DC then island</v>
      </c>
      <c r="CH121" s="7">
        <f t="shared" ca="1" si="348"/>
        <v>1019.7244473776855</v>
      </c>
      <c r="CI121" s="7">
        <f t="shared" ca="1" si="348"/>
        <v>0</v>
      </c>
      <c r="CJ121" s="7">
        <f t="shared" ca="1" si="348"/>
        <v>4000.2755526223145</v>
      </c>
      <c r="CK121" s="9">
        <f t="shared" ca="1" si="349"/>
        <v>5020</v>
      </c>
      <c r="CO121" s="16">
        <f>$CD$110</f>
        <v>2</v>
      </c>
      <c r="CP121">
        <f t="shared" si="358"/>
        <v>0</v>
      </c>
      <c r="CQ121">
        <f t="shared" si="358"/>
        <v>1</v>
      </c>
      <c r="CR121" t="str">
        <f ca="1">OFFSET($CG$59,$CO121-1+$CF$93*$CF$94,0)&amp;" IR transferred"</f>
        <v>700 MW
[202 MW] IR transferred</v>
      </c>
      <c r="CS121" t="str">
        <f ca="1">OFFSET($CX$6,0,($CQ121-1)*6+$CP121)</f>
        <v>North</v>
      </c>
      <c r="CW121" t="str">
        <f ca="1">OFFSET($CX$5,0,($CQ121-1)*6+$CP121)</f>
        <v>Island</v>
      </c>
      <c r="CX121" s="7">
        <f t="shared" ca="1" si="352"/>
        <v>2020</v>
      </c>
      <c r="CY121" s="7">
        <f t="shared" ca="1" si="352"/>
        <v>-1820.667129951355</v>
      </c>
      <c r="CZ121" s="7">
        <f t="shared" ca="1" si="352"/>
        <v>199.33287004864496</v>
      </c>
    </row>
    <row r="122" spans="6:104" x14ac:dyDescent="0.25">
      <c r="CO122">
        <f>CO121</f>
        <v>2</v>
      </c>
      <c r="CP122">
        <f t="shared" si="358"/>
        <v>0</v>
      </c>
      <c r="CQ122">
        <f t="shared" si="358"/>
        <v>2</v>
      </c>
      <c r="CW122" t="str">
        <f ca="1">OFFSET($CX$5,0,($CQ122-1)*6+$CP122)</f>
        <v>National</v>
      </c>
      <c r="CX122" s="7">
        <f t="shared" ca="1" si="352"/>
        <v>2020</v>
      </c>
      <c r="CY122" s="7">
        <f t="shared" ca="1" si="352"/>
        <v>-1680.2466083922393</v>
      </c>
      <c r="CZ122" s="7">
        <f t="shared" ca="1" si="352"/>
        <v>339.7533916077607</v>
      </c>
    </row>
    <row r="123" spans="6:104" x14ac:dyDescent="0.25">
      <c r="CO123">
        <f t="shared" ref="CO123:CO128" si="361">CO122</f>
        <v>2</v>
      </c>
      <c r="CP123">
        <f t="shared" si="358"/>
        <v>0</v>
      </c>
      <c r="CQ123">
        <f t="shared" si="358"/>
        <v>3</v>
      </c>
      <c r="CW123" t="str">
        <f ca="1">OFFSET($CX$5,0,($CQ123-1)*6+$CP123)</f>
        <v>Factored by sharing limit</v>
      </c>
      <c r="CX123" s="7">
        <f t="shared" ca="1" si="352"/>
        <v>2020</v>
      </c>
      <c r="CY123" s="7">
        <f t="shared" ca="1" si="352"/>
        <v>-1743.4358430938414</v>
      </c>
      <c r="CZ123" s="7">
        <f t="shared" ca="1" si="352"/>
        <v>276.56415690615859</v>
      </c>
    </row>
    <row r="124" spans="6:104" x14ac:dyDescent="0.25">
      <c r="CO124">
        <f t="shared" si="361"/>
        <v>2</v>
      </c>
      <c r="CP124">
        <f t="shared" si="358"/>
        <v>0</v>
      </c>
      <c r="CQ124">
        <f t="shared" si="358"/>
        <v>4</v>
      </c>
      <c r="CW124" t="str">
        <f ca="1">OFFSET($CX$5,0,($CQ124-1)*6+$CP124)</f>
        <v>Cost to island causer</v>
      </c>
      <c r="CX124" s="7">
        <f t="shared" ca="1" si="352"/>
        <v>2020</v>
      </c>
      <c r="CY124" s="7">
        <f t="shared" ca="1" si="352"/>
        <v>-2057.1379818536257</v>
      </c>
      <c r="CZ124" s="7">
        <f t="shared" ca="1" si="352"/>
        <v>-37.137981853625661</v>
      </c>
    </row>
    <row r="125" spans="6:104" x14ac:dyDescent="0.25">
      <c r="CO125">
        <f t="shared" si="361"/>
        <v>2</v>
      </c>
      <c r="CP125">
        <f t="shared" si="358"/>
        <v>3</v>
      </c>
      <c r="CQ125">
        <f t="shared" si="358"/>
        <v>1</v>
      </c>
      <c r="CS125" t="str">
        <f ca="1">OFFSET($CX$6,0,($CQ125-1)*6+$CP125)</f>
        <v>South</v>
      </c>
      <c r="CW125" s="16" t="str">
        <f ca="1">CW121</f>
        <v>Island</v>
      </c>
      <c r="CX125" s="7">
        <f t="shared" ca="1" si="352"/>
        <v>198</v>
      </c>
      <c r="CY125" s="7">
        <f t="shared" ca="1" si="352"/>
        <v>-397.33287004864485</v>
      </c>
      <c r="CZ125" s="7">
        <f t="shared" ca="1" si="352"/>
        <v>-199.33287004864485</v>
      </c>
    </row>
    <row r="126" spans="6:104" x14ac:dyDescent="0.25">
      <c r="CO126">
        <f t="shared" si="361"/>
        <v>2</v>
      </c>
      <c r="CP126">
        <f t="shared" si="358"/>
        <v>3</v>
      </c>
      <c r="CQ126">
        <f t="shared" si="358"/>
        <v>2</v>
      </c>
      <c r="CW126" s="16" t="str">
        <f ca="1">CW122</f>
        <v>National</v>
      </c>
      <c r="CX126" s="7">
        <f t="shared" ca="1" si="352"/>
        <v>198</v>
      </c>
      <c r="CY126" s="7">
        <f t="shared" ca="1" si="352"/>
        <v>-537.75339160776059</v>
      </c>
      <c r="CZ126" s="7">
        <f t="shared" ca="1" si="352"/>
        <v>-339.75339160776059</v>
      </c>
    </row>
    <row r="127" spans="6:104" x14ac:dyDescent="0.25">
      <c r="CO127">
        <f t="shared" si="361"/>
        <v>2</v>
      </c>
      <c r="CP127">
        <f t="shared" si="358"/>
        <v>3</v>
      </c>
      <c r="CQ127">
        <f t="shared" si="358"/>
        <v>3</v>
      </c>
      <c r="CW127" s="16" t="str">
        <f ca="1">CW123</f>
        <v>Factored by sharing limit</v>
      </c>
      <c r="CX127" s="7">
        <f t="shared" ca="1" si="352"/>
        <v>198</v>
      </c>
      <c r="CY127" s="7">
        <f t="shared" ca="1" si="352"/>
        <v>-474.56415690615847</v>
      </c>
      <c r="CZ127" s="7">
        <f t="shared" ca="1" si="352"/>
        <v>-276.56415690615847</v>
      </c>
    </row>
    <row r="128" spans="6:104" x14ac:dyDescent="0.25">
      <c r="CO128">
        <f t="shared" si="361"/>
        <v>2</v>
      </c>
      <c r="CP128">
        <f t="shared" si="358"/>
        <v>3</v>
      </c>
      <c r="CQ128">
        <f t="shared" si="358"/>
        <v>4</v>
      </c>
      <c r="CW128" s="16" t="str">
        <f ca="1">CW124</f>
        <v>Cost to island causer</v>
      </c>
      <c r="CX128" s="7">
        <f t="shared" ca="1" si="352"/>
        <v>198</v>
      </c>
      <c r="CY128" s="7">
        <f t="shared" ca="1" si="352"/>
        <v>-160.8620181463744</v>
      </c>
      <c r="CZ128" s="7">
        <f t="shared" ca="1" si="352"/>
        <v>37.137981853625604</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2:BX60"/>
  <sheetViews>
    <sheetView zoomScale="55" zoomScaleNormal="55" workbookViewId="0"/>
  </sheetViews>
  <sheetFormatPr defaultRowHeight="15" x14ac:dyDescent="0.25"/>
  <sheetData>
    <row r="2" spans="1:24" ht="14.45" x14ac:dyDescent="0.35">
      <c r="S2" t="s">
        <v>179</v>
      </c>
      <c r="T2" s="39">
        <v>600</v>
      </c>
    </row>
    <row r="3" spans="1:24" ht="14.45" x14ac:dyDescent="0.35">
      <c r="A3" s="4" t="s">
        <v>95</v>
      </c>
      <c r="B3" t="s">
        <v>104</v>
      </c>
      <c r="C3" t="s">
        <v>58</v>
      </c>
      <c r="D3" t="s">
        <v>201</v>
      </c>
      <c r="E3" t="s">
        <v>200</v>
      </c>
      <c r="F3" t="s">
        <v>59</v>
      </c>
      <c r="G3" t="s">
        <v>244</v>
      </c>
      <c r="H3" t="s">
        <v>62</v>
      </c>
      <c r="I3" t="s">
        <v>60</v>
      </c>
      <c r="J3" t="s">
        <v>45</v>
      </c>
      <c r="K3" t="s">
        <v>101</v>
      </c>
      <c r="L3" t="s">
        <v>114</v>
      </c>
      <c r="M3" t="s">
        <v>199</v>
      </c>
      <c r="N3" t="s">
        <v>102</v>
      </c>
      <c r="O3" t="s">
        <v>176</v>
      </c>
      <c r="P3" s="5" t="str">
        <f>IF(DeMinimis=0,"Other "&amp;P$12&amp;"I &lt; 60 MW",".")</f>
        <v>.</v>
      </c>
      <c r="Q3" s="5" t="str">
        <f>IF(DeMinimis=0,"Other "&amp;Q$12&amp;"I &lt; 60 MW",".")</f>
        <v>.</v>
      </c>
      <c r="S3" t="s">
        <v>146</v>
      </c>
      <c r="T3" s="19">
        <v>60</v>
      </c>
      <c r="U3" t="str">
        <f>DeMinimis&amp;" MW de minimis; "&amp;T2&amp;" MW HVDC transfer = "&amp;O5&amp;" MW NI DC CE risk"</f>
        <v>60 MW de minimis; 600 MW HVDC transfer = 102 MW NI DC CE risk</v>
      </c>
    </row>
    <row r="4" spans="1:24" ht="14.45" x14ac:dyDescent="0.35">
      <c r="A4" s="4" t="s">
        <v>111</v>
      </c>
      <c r="B4" t="s">
        <v>113</v>
      </c>
      <c r="C4" t="s">
        <v>113</v>
      </c>
      <c r="D4" t="s">
        <v>113</v>
      </c>
      <c r="E4" t="s">
        <v>113</v>
      </c>
      <c r="F4" t="s">
        <v>113</v>
      </c>
      <c r="G4" t="s">
        <v>209</v>
      </c>
      <c r="H4" t="s">
        <v>209</v>
      </c>
      <c r="I4" t="s">
        <v>209</v>
      </c>
      <c r="J4" t="s">
        <v>50</v>
      </c>
      <c r="K4" t="s">
        <v>50</v>
      </c>
      <c r="L4" t="s">
        <v>50</v>
      </c>
      <c r="M4" t="s">
        <v>50</v>
      </c>
      <c r="N4" t="s">
        <v>50</v>
      </c>
      <c r="O4" t="s">
        <v>63</v>
      </c>
      <c r="P4" t="s">
        <v>210</v>
      </c>
      <c r="Q4" t="s">
        <v>210</v>
      </c>
    </row>
    <row r="5" spans="1:24" ht="14.45" x14ac:dyDescent="0.35">
      <c r="A5" s="4" t="s">
        <v>107</v>
      </c>
      <c r="B5" s="8">
        <v>400</v>
      </c>
      <c r="C5" s="8">
        <v>385</v>
      </c>
      <c r="D5" s="8">
        <v>500</v>
      </c>
      <c r="E5" s="8">
        <v>200</v>
      </c>
      <c r="F5" s="8">
        <v>68</v>
      </c>
      <c r="G5" s="8">
        <v>138</v>
      </c>
      <c r="H5" s="8">
        <v>100</v>
      </c>
      <c r="I5" s="8">
        <v>166</v>
      </c>
      <c r="J5" s="15">
        <f>J6*J7</f>
        <v>854</v>
      </c>
      <c r="K5" s="8">
        <v>432</v>
      </c>
      <c r="L5" s="8">
        <v>540</v>
      </c>
      <c r="M5" s="8">
        <v>154</v>
      </c>
      <c r="N5" s="8">
        <v>264</v>
      </c>
      <c r="O5" s="30">
        <f>MAX(0,GenUnits!T2-Pole2_limit+ModulationRisk)</f>
        <v>102</v>
      </c>
      <c r="P5" s="36">
        <f t="array" ref="P5">Sheet1!J$5-SUM(IF($B$12:$N$12=P$12,$B$5:$N$5))</f>
        <v>2545</v>
      </c>
      <c r="Q5" s="36">
        <f t="array" ref="Q5">Sheet1!K$5-SUM(IF($B$12:$N$12=Q$12,$B$5:$N$5))</f>
        <v>1095</v>
      </c>
    </row>
    <row r="6" spans="1:24" ht="14.45" x14ac:dyDescent="0.35">
      <c r="A6" s="4" t="s">
        <v>108</v>
      </c>
      <c r="B6" s="1">
        <v>1</v>
      </c>
      <c r="C6" s="1">
        <v>1</v>
      </c>
      <c r="D6" s="1">
        <v>2</v>
      </c>
      <c r="E6" s="1">
        <v>2</v>
      </c>
      <c r="F6" s="1">
        <v>1</v>
      </c>
      <c r="G6" s="1">
        <v>1</v>
      </c>
      <c r="H6" s="1">
        <v>1</v>
      </c>
      <c r="I6" s="1">
        <v>2</v>
      </c>
      <c r="J6" s="1">
        <v>7</v>
      </c>
      <c r="K6" s="1">
        <v>4</v>
      </c>
      <c r="L6" s="1">
        <v>6</v>
      </c>
      <c r="M6" s="1">
        <v>2</v>
      </c>
      <c r="N6" s="1">
        <v>4</v>
      </c>
      <c r="O6" s="1">
        <v>1</v>
      </c>
      <c r="P6" s="1">
        <v>1</v>
      </c>
      <c r="Q6" s="1">
        <v>1</v>
      </c>
    </row>
    <row r="7" spans="1:24" ht="14.45" x14ac:dyDescent="0.35">
      <c r="A7" s="4" t="s">
        <v>109</v>
      </c>
      <c r="B7" s="8">
        <v>400</v>
      </c>
      <c r="C7" s="8">
        <v>385</v>
      </c>
      <c r="D7" s="8">
        <v>250</v>
      </c>
      <c r="E7" s="8">
        <v>100</v>
      </c>
      <c r="F7" s="8">
        <v>68</v>
      </c>
      <c r="G7" s="8">
        <v>138</v>
      </c>
      <c r="H7" s="8">
        <v>100</v>
      </c>
      <c r="I7" s="8">
        <v>83</v>
      </c>
      <c r="J7" s="8">
        <v>122</v>
      </c>
      <c r="K7" s="8">
        <v>108</v>
      </c>
      <c r="L7" s="8">
        <v>90</v>
      </c>
      <c r="M7" s="8">
        <f>154/2</f>
        <v>77</v>
      </c>
      <c r="N7" s="8">
        <v>66</v>
      </c>
      <c r="O7" s="7">
        <f>O$5</f>
        <v>102</v>
      </c>
      <c r="P7" s="7">
        <f>P5</f>
        <v>2545</v>
      </c>
      <c r="Q7" s="7">
        <f>Q5</f>
        <v>1095</v>
      </c>
    </row>
    <row r="8" spans="1:24" ht="14.45" x14ac:dyDescent="0.35">
      <c r="A8" s="4" t="s">
        <v>198</v>
      </c>
      <c r="B8" s="61">
        <f>LargeThermal_Flag</f>
        <v>1</v>
      </c>
      <c r="C8" s="61">
        <f>LargeThermal_Flag</f>
        <v>1</v>
      </c>
      <c r="D8" s="61">
        <f>LargeThermal_Flag</f>
        <v>1</v>
      </c>
      <c r="E8" s="6">
        <v>1</v>
      </c>
      <c r="F8" s="6">
        <v>1</v>
      </c>
      <c r="G8" s="6">
        <v>1</v>
      </c>
      <c r="H8" s="6">
        <v>1</v>
      </c>
      <c r="I8" s="6">
        <v>1</v>
      </c>
      <c r="J8" s="6">
        <v>1</v>
      </c>
      <c r="K8" s="6">
        <v>1</v>
      </c>
      <c r="L8" s="6">
        <v>1</v>
      </c>
      <c r="M8" s="6">
        <v>1</v>
      </c>
      <c r="N8" s="6">
        <v>1</v>
      </c>
      <c r="O8" s="6">
        <v>1</v>
      </c>
      <c r="P8" s="51">
        <f>IF(DeMinimis=0,100%,0%)</f>
        <v>0</v>
      </c>
      <c r="Q8" s="51">
        <f>IF(DeMinimis=0,100%,0%)</f>
        <v>0</v>
      </c>
    </row>
    <row r="9" spans="1:24" ht="14.45" x14ac:dyDescent="0.35">
      <c r="A9" s="4" t="s">
        <v>109</v>
      </c>
      <c r="B9" s="14">
        <f>B7*B8</f>
        <v>400</v>
      </c>
      <c r="C9" s="14">
        <f t="shared" ref="C9:O9" si="0">C7*C8</f>
        <v>385</v>
      </c>
      <c r="D9" s="14">
        <f t="shared" si="0"/>
        <v>250</v>
      </c>
      <c r="E9" s="14">
        <f t="shared" si="0"/>
        <v>100</v>
      </c>
      <c r="F9" s="14">
        <f t="shared" si="0"/>
        <v>68</v>
      </c>
      <c r="G9" s="14">
        <f t="shared" si="0"/>
        <v>138</v>
      </c>
      <c r="H9" s="14">
        <f t="shared" si="0"/>
        <v>100</v>
      </c>
      <c r="I9" s="14">
        <f t="shared" si="0"/>
        <v>83</v>
      </c>
      <c r="J9" s="14">
        <f t="shared" si="0"/>
        <v>122</v>
      </c>
      <c r="K9" s="14">
        <f t="shared" si="0"/>
        <v>108</v>
      </c>
      <c r="L9" s="14">
        <f t="shared" si="0"/>
        <v>90</v>
      </c>
      <c r="M9" s="14">
        <f t="shared" si="0"/>
        <v>77</v>
      </c>
      <c r="N9" s="14">
        <f t="shared" si="0"/>
        <v>66</v>
      </c>
      <c r="O9" s="14">
        <f t="shared" si="0"/>
        <v>102</v>
      </c>
      <c r="P9" s="14">
        <f t="shared" ref="P9:Q9" si="1">P7*P8</f>
        <v>0</v>
      </c>
      <c r="Q9" s="14">
        <f t="shared" si="1"/>
        <v>0</v>
      </c>
    </row>
    <row r="10" spans="1:24" ht="14.45" x14ac:dyDescent="0.35">
      <c r="A10" s="4" t="s">
        <v>174</v>
      </c>
      <c r="B10">
        <f t="shared" ref="B10:O10" si="2">MAX(0,B9-DeMinimis)</f>
        <v>340</v>
      </c>
      <c r="C10">
        <f t="shared" si="2"/>
        <v>325</v>
      </c>
      <c r="D10">
        <f t="shared" si="2"/>
        <v>190</v>
      </c>
      <c r="E10">
        <f t="shared" si="2"/>
        <v>40</v>
      </c>
      <c r="F10">
        <f t="shared" si="2"/>
        <v>8</v>
      </c>
      <c r="G10">
        <f t="shared" si="2"/>
        <v>78</v>
      </c>
      <c r="H10">
        <f t="shared" si="2"/>
        <v>40</v>
      </c>
      <c r="I10">
        <f t="shared" si="2"/>
        <v>23</v>
      </c>
      <c r="J10">
        <f t="shared" si="2"/>
        <v>62</v>
      </c>
      <c r="K10">
        <f t="shared" si="2"/>
        <v>48</v>
      </c>
      <c r="L10">
        <f t="shared" si="2"/>
        <v>30</v>
      </c>
      <c r="M10">
        <f t="shared" si="2"/>
        <v>17</v>
      </c>
      <c r="N10">
        <f t="shared" si="2"/>
        <v>6</v>
      </c>
      <c r="O10">
        <f t="shared" si="2"/>
        <v>42</v>
      </c>
      <c r="P10">
        <f t="shared" ref="P10:Q10" si="3">MAX(0,P9-DeMinimis)</f>
        <v>0</v>
      </c>
      <c r="Q10">
        <f t="shared" si="3"/>
        <v>0</v>
      </c>
      <c r="V10" s="1" t="s">
        <v>116</v>
      </c>
      <c r="W10" s="1" t="s">
        <v>117</v>
      </c>
      <c r="X10" t="s">
        <v>63</v>
      </c>
    </row>
    <row r="11" spans="1:24" ht="14.45" x14ac:dyDescent="0.35">
      <c r="A11" s="4" t="s">
        <v>110</v>
      </c>
      <c r="B11" t="s">
        <v>97</v>
      </c>
      <c r="C11" t="s">
        <v>99</v>
      </c>
      <c r="D11" t="s">
        <v>97</v>
      </c>
      <c r="E11" t="s">
        <v>99</v>
      </c>
      <c r="F11" t="s">
        <v>100</v>
      </c>
      <c r="G11" t="s">
        <v>197</v>
      </c>
      <c r="H11" t="s">
        <v>197</v>
      </c>
      <c r="I11" t="s">
        <v>99</v>
      </c>
      <c r="J11" t="s">
        <v>96</v>
      </c>
      <c r="K11" t="s">
        <v>99</v>
      </c>
      <c r="L11" t="s">
        <v>96</v>
      </c>
      <c r="M11" t="s">
        <v>97</v>
      </c>
      <c r="N11" t="s">
        <v>96</v>
      </c>
      <c r="O11" t="s">
        <v>196</v>
      </c>
      <c r="U11" s="4" t="s">
        <v>177</v>
      </c>
      <c r="V11" s="7">
        <f t="array" ref="V11">SUM(IF($B$12:$N$12=V$10,$B$10:$N$10*$B$6:$N$6))</f>
        <v>1297</v>
      </c>
      <c r="W11" s="7">
        <f t="array" ref="W11">SUM(IF($B$12:$N$12=W$10,$B$10:$N$10*$B$6:$N$6))</f>
        <v>864</v>
      </c>
    </row>
    <row r="12" spans="1:24" ht="14.45" x14ac:dyDescent="0.35">
      <c r="A12" s="4" t="s">
        <v>115</v>
      </c>
      <c r="B12" t="s">
        <v>116</v>
      </c>
      <c r="C12" t="s">
        <v>116</v>
      </c>
      <c r="D12" t="s">
        <v>116</v>
      </c>
      <c r="E12" t="s">
        <v>116</v>
      </c>
      <c r="F12" t="s">
        <v>116</v>
      </c>
      <c r="G12" t="s">
        <v>116</v>
      </c>
      <c r="H12" t="s">
        <v>116</v>
      </c>
      <c r="I12" t="s">
        <v>116</v>
      </c>
      <c r="J12" t="s">
        <v>117</v>
      </c>
      <c r="K12" t="s">
        <v>117</v>
      </c>
      <c r="L12" t="s">
        <v>117</v>
      </c>
      <c r="M12" t="s">
        <v>117</v>
      </c>
      <c r="N12" t="s">
        <v>117</v>
      </c>
      <c r="O12" t="s">
        <v>116</v>
      </c>
      <c r="P12" t="s">
        <v>116</v>
      </c>
      <c r="Q12" t="s">
        <v>117</v>
      </c>
      <c r="U12" t="s">
        <v>178</v>
      </c>
      <c r="V12">
        <f t="array" ref="V12">MAX(IF($B$12:$N$12=V$10,$B$9:$N$9))</f>
        <v>400</v>
      </c>
      <c r="W12">
        <f t="array" ref="W12">MAX(IF($B$12:$N$12=W$10,$B$9:$N$9))</f>
        <v>122</v>
      </c>
      <c r="X12">
        <f>O5</f>
        <v>102</v>
      </c>
    </row>
    <row r="13" spans="1:24" ht="14.45" x14ac:dyDescent="0.35">
      <c r="A13" s="4" t="s">
        <v>173</v>
      </c>
      <c r="B13">
        <v>1</v>
      </c>
      <c r="C13">
        <v>2</v>
      </c>
      <c r="D13">
        <v>3</v>
      </c>
      <c r="E13">
        <v>4</v>
      </c>
      <c r="F13">
        <v>5</v>
      </c>
      <c r="G13">
        <v>6</v>
      </c>
      <c r="H13">
        <v>7</v>
      </c>
      <c r="I13">
        <v>8</v>
      </c>
      <c r="J13">
        <v>9</v>
      </c>
      <c r="K13">
        <v>10</v>
      </c>
      <c r="L13">
        <v>11</v>
      </c>
      <c r="M13">
        <v>12</v>
      </c>
      <c r="N13">
        <v>13</v>
      </c>
      <c r="O13">
        <v>14</v>
      </c>
    </row>
    <row r="14" spans="1:24" ht="14.45" x14ac:dyDescent="0.35">
      <c r="B14">
        <f t="shared" ref="B14:O14" si="4">SUM(B6,A14)</f>
        <v>1</v>
      </c>
      <c r="C14">
        <f t="shared" si="4"/>
        <v>2</v>
      </c>
      <c r="D14">
        <f t="shared" si="4"/>
        <v>4</v>
      </c>
      <c r="E14">
        <f t="shared" si="4"/>
        <v>6</v>
      </c>
      <c r="F14">
        <f t="shared" si="4"/>
        <v>7</v>
      </c>
      <c r="G14">
        <f t="shared" si="4"/>
        <v>8</v>
      </c>
      <c r="H14">
        <f t="shared" si="4"/>
        <v>9</v>
      </c>
      <c r="I14">
        <f t="shared" si="4"/>
        <v>11</v>
      </c>
      <c r="J14">
        <f t="shared" si="4"/>
        <v>18</v>
      </c>
      <c r="K14">
        <f t="shared" si="4"/>
        <v>22</v>
      </c>
      <c r="L14">
        <f t="shared" si="4"/>
        <v>28</v>
      </c>
      <c r="M14">
        <f t="shared" si="4"/>
        <v>30</v>
      </c>
      <c r="N14">
        <f t="shared" si="4"/>
        <v>34</v>
      </c>
      <c r="O14">
        <f t="shared" si="4"/>
        <v>35</v>
      </c>
      <c r="P14">
        <f t="shared" ref="P14" si="5">SUM(P6,O14)</f>
        <v>36</v>
      </c>
      <c r="Q14">
        <f t="shared" ref="Q14" si="6">SUM(Q6,P14)</f>
        <v>37</v>
      </c>
    </row>
    <row r="16" spans="1:24" ht="14.45" x14ac:dyDescent="0.35">
      <c r="B16" t="str">
        <f t="shared" ref="B16:O16" si="7">B3&amp;" | "&amp;B6&amp;" | "&amp;LEFT(B$4,5)</f>
        <v>Huntly - e3p | 1 | Therm</v>
      </c>
      <c r="C16" t="str">
        <f t="shared" si="7"/>
        <v>TCC | 1 | Therm</v>
      </c>
      <c r="D16" t="str">
        <f t="shared" si="7"/>
        <v>Huntly Rankines | 2 | Therm</v>
      </c>
      <c r="E16" t="str">
        <f t="shared" si="7"/>
        <v>Stratford pkrs | 2 | Therm</v>
      </c>
      <c r="F16" t="str">
        <f t="shared" si="7"/>
        <v>Glenbrook | 1 | Therm</v>
      </c>
      <c r="G16" t="str">
        <f t="shared" si="7"/>
        <v>Nga Awa Purua | 1 | Geoth</v>
      </c>
      <c r="H16" t="str">
        <f t="shared" si="7"/>
        <v>Kawerau | 1 | Geoth</v>
      </c>
      <c r="I16" t="str">
        <f t="shared" si="7"/>
        <v>Te Mihi | 2 | Geoth</v>
      </c>
      <c r="J16" t="str">
        <f t="shared" si="7"/>
        <v>Manapouri | 7 | Hydro</v>
      </c>
      <c r="K16" t="str">
        <f t="shared" si="7"/>
        <v>Clutha -Clyde | 4 | Hydro</v>
      </c>
      <c r="L16" t="str">
        <f t="shared" si="7"/>
        <v>Waitaki - Benmore | 6 | Hydro</v>
      </c>
      <c r="M16" t="str">
        <f t="shared" si="7"/>
        <v>Waitaki - Tekapo | 2 | Hydro</v>
      </c>
      <c r="N16" t="str">
        <f t="shared" si="7"/>
        <v>Waitaki - Ohau | 4 | Hydro</v>
      </c>
      <c r="O16" t="str">
        <f t="shared" si="7"/>
        <v>HVDC CE risk | 1 | HVDC</v>
      </c>
    </row>
    <row r="17" spans="1:15" ht="14.45" x14ac:dyDescent="0.35">
      <c r="A17" t="s">
        <v>97</v>
      </c>
      <c r="B17">
        <f>IF(B$11=$A17,B$9,"")</f>
        <v>400</v>
      </c>
      <c r="C17" t="str">
        <f t="shared" ref="C17:O17" si="8">IF(C$11=$A17,C$9,"")</f>
        <v/>
      </c>
      <c r="D17">
        <f t="shared" si="8"/>
        <v>250</v>
      </c>
      <c r="E17" t="str">
        <f t="shared" si="8"/>
        <v/>
      </c>
      <c r="F17" t="str">
        <f t="shared" si="8"/>
        <v/>
      </c>
      <c r="G17" t="str">
        <f t="shared" si="8"/>
        <v/>
      </c>
      <c r="H17" t="str">
        <f t="shared" si="8"/>
        <v/>
      </c>
      <c r="I17" t="str">
        <f t="shared" si="8"/>
        <v/>
      </c>
      <c r="J17" t="str">
        <f t="shared" si="8"/>
        <v/>
      </c>
      <c r="K17" t="str">
        <f t="shared" si="8"/>
        <v/>
      </c>
      <c r="L17" t="str">
        <f t="shared" si="8"/>
        <v/>
      </c>
      <c r="M17">
        <f t="shared" si="8"/>
        <v>77</v>
      </c>
      <c r="N17" t="str">
        <f t="shared" si="8"/>
        <v/>
      </c>
      <c r="O17" t="str">
        <f t="shared" si="8"/>
        <v/>
      </c>
    </row>
    <row r="18" spans="1:15" ht="14.45" x14ac:dyDescent="0.35">
      <c r="A18" t="s">
        <v>99</v>
      </c>
      <c r="B18" t="str">
        <f t="shared" ref="B18:O22" si="9">IF(B$11=$A18,B$9,"")</f>
        <v/>
      </c>
      <c r="C18">
        <f t="shared" si="9"/>
        <v>385</v>
      </c>
      <c r="D18" t="str">
        <f t="shared" si="9"/>
        <v/>
      </c>
      <c r="E18">
        <f t="shared" si="9"/>
        <v>100</v>
      </c>
      <c r="F18" t="str">
        <f t="shared" si="9"/>
        <v/>
      </c>
      <c r="G18" t="str">
        <f t="shared" si="9"/>
        <v/>
      </c>
      <c r="H18" t="str">
        <f t="shared" si="9"/>
        <v/>
      </c>
      <c r="I18">
        <f t="shared" si="9"/>
        <v>83</v>
      </c>
      <c r="J18" t="str">
        <f t="shared" si="9"/>
        <v/>
      </c>
      <c r="K18">
        <f t="shared" si="9"/>
        <v>108</v>
      </c>
      <c r="L18" t="str">
        <f t="shared" si="9"/>
        <v/>
      </c>
      <c r="M18" t="str">
        <f t="shared" si="9"/>
        <v/>
      </c>
      <c r="N18" t="str">
        <f t="shared" si="9"/>
        <v/>
      </c>
      <c r="O18" t="str">
        <f t="shared" si="9"/>
        <v/>
      </c>
    </row>
    <row r="19" spans="1:15" ht="14.45" x14ac:dyDescent="0.35">
      <c r="A19" t="s">
        <v>96</v>
      </c>
      <c r="B19" t="str">
        <f t="shared" si="9"/>
        <v/>
      </c>
      <c r="C19" t="str">
        <f t="shared" si="9"/>
        <v/>
      </c>
      <c r="D19" t="str">
        <f t="shared" si="9"/>
        <v/>
      </c>
      <c r="E19" t="str">
        <f t="shared" si="9"/>
        <v/>
      </c>
      <c r="F19" t="str">
        <f t="shared" si="9"/>
        <v/>
      </c>
      <c r="G19" t="str">
        <f t="shared" si="9"/>
        <v/>
      </c>
      <c r="H19" t="str">
        <f t="shared" si="9"/>
        <v/>
      </c>
      <c r="I19" t="str">
        <f t="shared" si="9"/>
        <v/>
      </c>
      <c r="J19">
        <f t="shared" si="9"/>
        <v>122</v>
      </c>
      <c r="K19" t="str">
        <f t="shared" si="9"/>
        <v/>
      </c>
      <c r="L19">
        <f t="shared" si="9"/>
        <v>90</v>
      </c>
      <c r="M19" t="str">
        <f t="shared" si="9"/>
        <v/>
      </c>
      <c r="N19">
        <f t="shared" si="9"/>
        <v>66</v>
      </c>
      <c r="O19" t="str">
        <f t="shared" si="9"/>
        <v/>
      </c>
    </row>
    <row r="20" spans="1:15" ht="14.45" x14ac:dyDescent="0.35">
      <c r="A20" t="s">
        <v>197</v>
      </c>
      <c r="B20" t="str">
        <f t="shared" si="9"/>
        <v/>
      </c>
      <c r="C20" t="str">
        <f t="shared" si="9"/>
        <v/>
      </c>
      <c r="D20" t="str">
        <f t="shared" si="9"/>
        <v/>
      </c>
      <c r="E20" t="str">
        <f t="shared" si="9"/>
        <v/>
      </c>
      <c r="F20" t="str">
        <f t="shared" si="9"/>
        <v/>
      </c>
      <c r="G20">
        <f t="shared" si="9"/>
        <v>138</v>
      </c>
      <c r="H20">
        <f t="shared" si="9"/>
        <v>100</v>
      </c>
      <c r="I20" t="str">
        <f t="shared" si="9"/>
        <v/>
      </c>
      <c r="J20" t="str">
        <f t="shared" si="9"/>
        <v/>
      </c>
      <c r="K20" t="str">
        <f t="shared" si="9"/>
        <v/>
      </c>
      <c r="L20" t="str">
        <f t="shared" si="9"/>
        <v/>
      </c>
      <c r="M20" t="str">
        <f t="shared" si="9"/>
        <v/>
      </c>
      <c r="N20" t="str">
        <f t="shared" si="9"/>
        <v/>
      </c>
      <c r="O20" t="str">
        <f t="shared" si="9"/>
        <v/>
      </c>
    </row>
    <row r="21" spans="1:15" ht="14.45" x14ac:dyDescent="0.35">
      <c r="A21" t="s">
        <v>100</v>
      </c>
      <c r="B21" t="str">
        <f t="shared" si="9"/>
        <v/>
      </c>
      <c r="C21" t="str">
        <f t="shared" si="9"/>
        <v/>
      </c>
      <c r="D21" t="str">
        <f t="shared" si="9"/>
        <v/>
      </c>
      <c r="E21" t="str">
        <f t="shared" si="9"/>
        <v/>
      </c>
      <c r="F21">
        <f t="shared" si="9"/>
        <v>68</v>
      </c>
      <c r="G21" t="str">
        <f t="shared" si="9"/>
        <v/>
      </c>
      <c r="H21" t="str">
        <f t="shared" si="9"/>
        <v/>
      </c>
      <c r="I21" t="str">
        <f t="shared" si="9"/>
        <v/>
      </c>
      <c r="J21" t="str">
        <f t="shared" si="9"/>
        <v/>
      </c>
      <c r="K21" t="str">
        <f t="shared" si="9"/>
        <v/>
      </c>
      <c r="L21" t="str">
        <f t="shared" si="9"/>
        <v/>
      </c>
      <c r="M21" t="str">
        <f t="shared" si="9"/>
        <v/>
      </c>
      <c r="N21" t="str">
        <f t="shared" si="9"/>
        <v/>
      </c>
      <c r="O21" t="str">
        <f t="shared" si="9"/>
        <v/>
      </c>
    </row>
    <row r="22" spans="1:15" ht="14.45" x14ac:dyDescent="0.35">
      <c r="A22" t="s">
        <v>196</v>
      </c>
      <c r="B22" t="str">
        <f t="shared" si="9"/>
        <v/>
      </c>
      <c r="C22" t="str">
        <f t="shared" si="9"/>
        <v/>
      </c>
      <c r="D22" t="str">
        <f t="shared" si="9"/>
        <v/>
      </c>
      <c r="E22" t="str">
        <f t="shared" si="9"/>
        <v/>
      </c>
      <c r="F22" t="str">
        <f t="shared" si="9"/>
        <v/>
      </c>
      <c r="G22" t="str">
        <f t="shared" si="9"/>
        <v/>
      </c>
      <c r="H22" t="str">
        <f t="shared" si="9"/>
        <v/>
      </c>
      <c r="I22" t="str">
        <f t="shared" si="9"/>
        <v/>
      </c>
      <c r="J22" t="str">
        <f t="shared" si="9"/>
        <v/>
      </c>
      <c r="K22" t="str">
        <f t="shared" si="9"/>
        <v/>
      </c>
      <c r="L22" t="str">
        <f t="shared" si="9"/>
        <v/>
      </c>
      <c r="M22" t="str">
        <f t="shared" si="9"/>
        <v/>
      </c>
      <c r="N22" t="str">
        <f t="shared" si="9"/>
        <v/>
      </c>
      <c r="O22">
        <f t="shared" si="9"/>
        <v>102</v>
      </c>
    </row>
    <row r="32" spans="1:15" ht="14.45" x14ac:dyDescent="0.35">
      <c r="B32" t="s">
        <v>175</v>
      </c>
      <c r="C32" s="39">
        <v>1</v>
      </c>
    </row>
    <row r="33" spans="1:76" ht="14.45" x14ac:dyDescent="0.35">
      <c r="B33" s="1">
        <v>1</v>
      </c>
      <c r="C33" s="1">
        <v>2</v>
      </c>
      <c r="D33" s="1">
        <v>3</v>
      </c>
      <c r="E33" s="1">
        <v>4</v>
      </c>
      <c r="F33" s="1">
        <v>5</v>
      </c>
      <c r="G33" s="1">
        <v>6</v>
      </c>
      <c r="H33" s="1">
        <v>7</v>
      </c>
      <c r="I33" s="1">
        <v>8</v>
      </c>
      <c r="J33" s="1">
        <v>9</v>
      </c>
      <c r="K33" s="1">
        <v>10</v>
      </c>
      <c r="L33" s="1">
        <v>11</v>
      </c>
      <c r="M33" s="1">
        <v>12</v>
      </c>
      <c r="N33" s="1">
        <v>13</v>
      </c>
      <c r="O33" s="1">
        <v>14</v>
      </c>
      <c r="P33" s="1">
        <v>15</v>
      </c>
      <c r="Q33" s="1">
        <v>16</v>
      </c>
      <c r="R33" s="1">
        <v>17</v>
      </c>
      <c r="S33" s="1">
        <v>18</v>
      </c>
      <c r="T33" s="1">
        <v>19</v>
      </c>
      <c r="U33" s="1">
        <v>20</v>
      </c>
      <c r="V33" s="1">
        <v>21</v>
      </c>
      <c r="W33" s="1">
        <v>22</v>
      </c>
      <c r="X33" s="1">
        <v>23</v>
      </c>
      <c r="Y33" s="1">
        <v>24</v>
      </c>
      <c r="Z33" s="1">
        <v>25</v>
      </c>
      <c r="AA33" s="1">
        <v>26</v>
      </c>
      <c r="AB33" s="1">
        <v>27</v>
      </c>
      <c r="AC33" s="1">
        <v>28</v>
      </c>
      <c r="AD33" s="1">
        <v>29</v>
      </c>
      <c r="AE33" s="1">
        <v>30</v>
      </c>
      <c r="AF33" s="1">
        <v>31</v>
      </c>
      <c r="AG33" s="1">
        <v>32</v>
      </c>
      <c r="AH33" s="1">
        <v>33</v>
      </c>
      <c r="AI33" s="1">
        <v>34</v>
      </c>
      <c r="AJ33" s="1">
        <v>35</v>
      </c>
      <c r="AK33" s="1">
        <v>36</v>
      </c>
      <c r="AL33" s="1">
        <v>37</v>
      </c>
    </row>
    <row r="34" spans="1:76" ht="14.45" x14ac:dyDescent="0.35">
      <c r="A34" t="s">
        <v>173</v>
      </c>
      <c r="B34">
        <f>IF(ISERROR(MATCH(B33,$B$14:$Q$14,0)),MATCH(B33,$B$14:$Q$14,1)+1,MATCH(B33,$B$14:$Q$14,0))</f>
        <v>1</v>
      </c>
      <c r="C34">
        <f t="shared" ref="C34:AL34" si="10">IF(ISERROR(MATCH(C33,$B$14:$Q$14,0)),MATCH(C33,$B$14:$Q$14,1)+1,MATCH(C33,$B$14:$Q$14,0))</f>
        <v>2</v>
      </c>
      <c r="D34">
        <f t="shared" si="10"/>
        <v>3</v>
      </c>
      <c r="E34">
        <f t="shared" si="10"/>
        <v>3</v>
      </c>
      <c r="F34">
        <f t="shared" si="10"/>
        <v>4</v>
      </c>
      <c r="G34">
        <f t="shared" si="10"/>
        <v>4</v>
      </c>
      <c r="H34">
        <f t="shared" si="10"/>
        <v>5</v>
      </c>
      <c r="I34">
        <f t="shared" si="10"/>
        <v>6</v>
      </c>
      <c r="J34">
        <f t="shared" si="10"/>
        <v>7</v>
      </c>
      <c r="K34">
        <f t="shared" si="10"/>
        <v>8</v>
      </c>
      <c r="L34">
        <f t="shared" si="10"/>
        <v>8</v>
      </c>
      <c r="M34">
        <f t="shared" si="10"/>
        <v>9</v>
      </c>
      <c r="N34">
        <f t="shared" si="10"/>
        <v>9</v>
      </c>
      <c r="O34">
        <f t="shared" si="10"/>
        <v>9</v>
      </c>
      <c r="P34">
        <f t="shared" si="10"/>
        <v>9</v>
      </c>
      <c r="Q34">
        <f t="shared" si="10"/>
        <v>9</v>
      </c>
      <c r="R34">
        <f t="shared" si="10"/>
        <v>9</v>
      </c>
      <c r="S34">
        <f t="shared" si="10"/>
        <v>9</v>
      </c>
      <c r="T34">
        <f t="shared" si="10"/>
        <v>10</v>
      </c>
      <c r="U34">
        <f t="shared" si="10"/>
        <v>10</v>
      </c>
      <c r="V34">
        <f t="shared" si="10"/>
        <v>10</v>
      </c>
      <c r="W34">
        <f t="shared" si="10"/>
        <v>10</v>
      </c>
      <c r="X34">
        <f t="shared" si="10"/>
        <v>11</v>
      </c>
      <c r="Y34">
        <f t="shared" si="10"/>
        <v>11</v>
      </c>
      <c r="Z34">
        <f t="shared" si="10"/>
        <v>11</v>
      </c>
      <c r="AA34">
        <f t="shared" si="10"/>
        <v>11</v>
      </c>
      <c r="AB34">
        <f t="shared" si="10"/>
        <v>11</v>
      </c>
      <c r="AC34">
        <f t="shared" si="10"/>
        <v>11</v>
      </c>
      <c r="AD34">
        <f t="shared" si="10"/>
        <v>12</v>
      </c>
      <c r="AE34">
        <f t="shared" si="10"/>
        <v>12</v>
      </c>
      <c r="AF34">
        <f t="shared" si="10"/>
        <v>13</v>
      </c>
      <c r="AG34">
        <f t="shared" si="10"/>
        <v>13</v>
      </c>
      <c r="AH34">
        <f t="shared" si="10"/>
        <v>13</v>
      </c>
      <c r="AI34">
        <f t="shared" si="10"/>
        <v>13</v>
      </c>
      <c r="AJ34">
        <f t="shared" si="10"/>
        <v>14</v>
      </c>
      <c r="AK34">
        <f t="shared" si="10"/>
        <v>15</v>
      </c>
      <c r="AL34">
        <f t="shared" si="10"/>
        <v>16</v>
      </c>
    </row>
    <row r="35" spans="1:76" ht="14.45" x14ac:dyDescent="0.35">
      <c r="A35" t="s">
        <v>193</v>
      </c>
      <c r="B35" t="str">
        <f t="shared" ref="B35:AL35" ca="1" si="11">OFFSET($A$3,0,B$34)</f>
        <v>Huntly - e3p</v>
      </c>
      <c r="C35" t="str">
        <f t="shared" ca="1" si="11"/>
        <v>TCC</v>
      </c>
      <c r="D35" t="str">
        <f t="shared" ca="1" si="11"/>
        <v>Huntly Rankines</v>
      </c>
      <c r="E35" t="str">
        <f t="shared" ca="1" si="11"/>
        <v>Huntly Rankines</v>
      </c>
      <c r="F35" t="str">
        <f t="shared" ca="1" si="11"/>
        <v>Stratford pkrs</v>
      </c>
      <c r="G35" t="str">
        <f t="shared" ca="1" si="11"/>
        <v>Stratford pkrs</v>
      </c>
      <c r="H35" t="str">
        <f t="shared" ca="1" si="11"/>
        <v>Glenbrook</v>
      </c>
      <c r="I35" t="str">
        <f t="shared" ca="1" si="11"/>
        <v>Nga Awa Purua</v>
      </c>
      <c r="J35" t="str">
        <f t="shared" ca="1" si="11"/>
        <v>Kawerau</v>
      </c>
      <c r="K35" t="str">
        <f t="shared" ca="1" si="11"/>
        <v>Te Mihi</v>
      </c>
      <c r="L35" t="str">
        <f t="shared" ca="1" si="11"/>
        <v>Te Mihi</v>
      </c>
      <c r="M35" t="str">
        <f t="shared" ca="1" si="11"/>
        <v>Manapouri</v>
      </c>
      <c r="N35" t="str">
        <f t="shared" ca="1" si="11"/>
        <v>Manapouri</v>
      </c>
      <c r="O35" t="str">
        <f t="shared" ca="1" si="11"/>
        <v>Manapouri</v>
      </c>
      <c r="P35" t="str">
        <f t="shared" ca="1" si="11"/>
        <v>Manapouri</v>
      </c>
      <c r="Q35" t="str">
        <f t="shared" ca="1" si="11"/>
        <v>Manapouri</v>
      </c>
      <c r="R35" t="str">
        <f t="shared" ca="1" si="11"/>
        <v>Manapouri</v>
      </c>
      <c r="S35" t="str">
        <f t="shared" ca="1" si="11"/>
        <v>Manapouri</v>
      </c>
      <c r="T35" t="str">
        <f t="shared" ca="1" si="11"/>
        <v>Clutha -Clyde</v>
      </c>
      <c r="U35" t="str">
        <f t="shared" ca="1" si="11"/>
        <v>Clutha -Clyde</v>
      </c>
      <c r="V35" t="str">
        <f t="shared" ca="1" si="11"/>
        <v>Clutha -Clyde</v>
      </c>
      <c r="W35" t="str">
        <f t="shared" ca="1" si="11"/>
        <v>Clutha -Clyde</v>
      </c>
      <c r="X35" t="str">
        <f t="shared" ca="1" si="11"/>
        <v>Waitaki - Benmore</v>
      </c>
      <c r="Y35" t="str">
        <f t="shared" ca="1" si="11"/>
        <v>Waitaki - Benmore</v>
      </c>
      <c r="Z35" t="str">
        <f t="shared" ca="1" si="11"/>
        <v>Waitaki - Benmore</v>
      </c>
      <c r="AA35" t="str">
        <f t="shared" ca="1" si="11"/>
        <v>Waitaki - Benmore</v>
      </c>
      <c r="AB35" t="str">
        <f t="shared" ca="1" si="11"/>
        <v>Waitaki - Benmore</v>
      </c>
      <c r="AC35" t="str">
        <f t="shared" ca="1" si="11"/>
        <v>Waitaki - Benmore</v>
      </c>
      <c r="AD35" t="str">
        <f t="shared" ca="1" si="11"/>
        <v>Waitaki - Tekapo</v>
      </c>
      <c r="AE35" t="str">
        <f t="shared" ca="1" si="11"/>
        <v>Waitaki - Tekapo</v>
      </c>
      <c r="AF35" t="str">
        <f t="shared" ca="1" si="11"/>
        <v>Waitaki - Ohau</v>
      </c>
      <c r="AG35" t="str">
        <f t="shared" ca="1" si="11"/>
        <v>Waitaki - Ohau</v>
      </c>
      <c r="AH35" t="str">
        <f t="shared" ca="1" si="11"/>
        <v>Waitaki - Ohau</v>
      </c>
      <c r="AI35" t="str">
        <f t="shared" ca="1" si="11"/>
        <v>Waitaki - Ohau</v>
      </c>
      <c r="AJ35" t="str">
        <f t="shared" ca="1" si="11"/>
        <v>HVDC CE risk</v>
      </c>
      <c r="AK35" t="str">
        <f t="shared" ca="1" si="11"/>
        <v>.</v>
      </c>
      <c r="AL35" t="str">
        <f t="shared" ca="1" si="11"/>
        <v>.</v>
      </c>
    </row>
    <row r="36" spans="1:76" ht="14.45" x14ac:dyDescent="0.35">
      <c r="B36" t="str">
        <f ca="1">IF(ROUND(B39,0)&gt;0,IF(B35&lt;&gt;A35,B35,"''"),"")</f>
        <v>Huntly - e3p</v>
      </c>
      <c r="C36" t="str">
        <f t="shared" ref="C36:AL36" ca="1" si="12">IF(ROUND(C39,0)&gt;0,IF(C35&lt;&gt;B35,C35,"''"),"")</f>
        <v>TCC</v>
      </c>
      <c r="D36" t="str">
        <f t="shared" ca="1" si="12"/>
        <v>Huntly Rankines</v>
      </c>
      <c r="E36" t="str">
        <f t="shared" ca="1" si="12"/>
        <v>''</v>
      </c>
      <c r="F36" t="str">
        <f t="shared" ca="1" si="12"/>
        <v>Stratford pkrs</v>
      </c>
      <c r="G36" t="str">
        <f t="shared" ca="1" si="12"/>
        <v>''</v>
      </c>
      <c r="H36" t="str">
        <f t="shared" ca="1" si="12"/>
        <v>Glenbrook</v>
      </c>
      <c r="I36" t="str">
        <f t="shared" ca="1" si="12"/>
        <v>Nga Awa Purua</v>
      </c>
      <c r="J36" t="str">
        <f t="shared" ca="1" si="12"/>
        <v>Kawerau</v>
      </c>
      <c r="K36" t="str">
        <f t="shared" ca="1" si="12"/>
        <v>Te Mihi</v>
      </c>
      <c r="L36" t="str">
        <f t="shared" ca="1" si="12"/>
        <v>''</v>
      </c>
      <c r="M36" t="str">
        <f t="shared" ca="1" si="12"/>
        <v>Manapouri</v>
      </c>
      <c r="N36" t="str">
        <f t="shared" ca="1" si="12"/>
        <v>''</v>
      </c>
      <c r="O36" t="str">
        <f t="shared" ca="1" si="12"/>
        <v>''</v>
      </c>
      <c r="P36" t="str">
        <f t="shared" ca="1" si="12"/>
        <v>''</v>
      </c>
      <c r="Q36" t="str">
        <f t="shared" ca="1" si="12"/>
        <v>''</v>
      </c>
      <c r="R36" t="str">
        <f t="shared" ca="1" si="12"/>
        <v>''</v>
      </c>
      <c r="S36" t="str">
        <f t="shared" ca="1" si="12"/>
        <v>''</v>
      </c>
      <c r="T36" t="str">
        <f t="shared" ca="1" si="12"/>
        <v>Clutha -Clyde</v>
      </c>
      <c r="U36" t="str">
        <f t="shared" ca="1" si="12"/>
        <v>''</v>
      </c>
      <c r="V36" t="str">
        <f t="shared" ca="1" si="12"/>
        <v>''</v>
      </c>
      <c r="W36" t="str">
        <f t="shared" ca="1" si="12"/>
        <v>''</v>
      </c>
      <c r="X36" t="str">
        <f t="shared" ca="1" si="12"/>
        <v>Waitaki - Benmore</v>
      </c>
      <c r="Y36" t="str">
        <f t="shared" ca="1" si="12"/>
        <v>''</v>
      </c>
      <c r="Z36" t="str">
        <f t="shared" ca="1" si="12"/>
        <v>''</v>
      </c>
      <c r="AA36" t="str">
        <f t="shared" ca="1" si="12"/>
        <v>''</v>
      </c>
      <c r="AB36" t="str">
        <f t="shared" ca="1" si="12"/>
        <v>''</v>
      </c>
      <c r="AC36" t="str">
        <f t="shared" ca="1" si="12"/>
        <v>''</v>
      </c>
      <c r="AD36" t="str">
        <f t="shared" ca="1" si="12"/>
        <v>Waitaki - Tekapo</v>
      </c>
      <c r="AE36" t="str">
        <f t="shared" ca="1" si="12"/>
        <v>''</v>
      </c>
      <c r="AF36" t="str">
        <f t="shared" ca="1" si="12"/>
        <v>Waitaki - Ohau</v>
      </c>
      <c r="AG36" t="str">
        <f t="shared" ca="1" si="12"/>
        <v>''</v>
      </c>
      <c r="AH36" t="str">
        <f t="shared" ca="1" si="12"/>
        <v>''</v>
      </c>
      <c r="AI36" t="str">
        <f t="shared" ca="1" si="12"/>
        <v>''</v>
      </c>
      <c r="AJ36" t="str">
        <f t="shared" ca="1" si="12"/>
        <v>HVDC CE risk</v>
      </c>
      <c r="AK36" t="str">
        <f t="shared" ca="1" si="12"/>
        <v/>
      </c>
      <c r="AL36" t="str">
        <f t="shared" ca="1" si="12"/>
        <v/>
      </c>
    </row>
    <row r="37" spans="1:76" ht="14.45" x14ac:dyDescent="0.35">
      <c r="A37" t="s">
        <v>110</v>
      </c>
      <c r="B37" t="str">
        <f t="shared" ref="B37:AJ37" ca="1" si="13">OFFSET($A11,0,B$34)</f>
        <v>Genesis</v>
      </c>
      <c r="C37" t="str">
        <f t="shared" ca="1" si="13"/>
        <v>Contact</v>
      </c>
      <c r="D37" t="str">
        <f t="shared" ca="1" si="13"/>
        <v>Genesis</v>
      </c>
      <c r="E37" t="str">
        <f t="shared" ca="1" si="13"/>
        <v>Genesis</v>
      </c>
      <c r="F37" t="str">
        <f t="shared" ca="1" si="13"/>
        <v>Contact</v>
      </c>
      <c r="G37" t="str">
        <f t="shared" ca="1" si="13"/>
        <v>Contact</v>
      </c>
      <c r="H37" t="str">
        <f t="shared" ca="1" si="13"/>
        <v>Alinta</v>
      </c>
      <c r="I37" t="str">
        <f t="shared" ca="1" si="13"/>
        <v>Mercury</v>
      </c>
      <c r="J37" t="str">
        <f t="shared" ca="1" si="13"/>
        <v>Mercury</v>
      </c>
      <c r="K37" t="str">
        <f t="shared" ca="1" si="13"/>
        <v>Contact</v>
      </c>
      <c r="L37" t="str">
        <f t="shared" ca="1" si="13"/>
        <v>Contact</v>
      </c>
      <c r="M37" t="str">
        <f t="shared" ca="1" si="13"/>
        <v>Meridian</v>
      </c>
      <c r="N37" t="str">
        <f t="shared" ca="1" si="13"/>
        <v>Meridian</v>
      </c>
      <c r="O37" t="str">
        <f t="shared" ca="1" si="13"/>
        <v>Meridian</v>
      </c>
      <c r="P37" t="str">
        <f t="shared" ca="1" si="13"/>
        <v>Meridian</v>
      </c>
      <c r="Q37" t="str">
        <f t="shared" ca="1" si="13"/>
        <v>Meridian</v>
      </c>
      <c r="R37" t="str">
        <f t="shared" ca="1" si="13"/>
        <v>Meridian</v>
      </c>
      <c r="S37" t="str">
        <f t="shared" ca="1" si="13"/>
        <v>Meridian</v>
      </c>
      <c r="T37" t="str">
        <f t="shared" ca="1" si="13"/>
        <v>Contact</v>
      </c>
      <c r="U37" t="str">
        <f t="shared" ca="1" si="13"/>
        <v>Contact</v>
      </c>
      <c r="V37" t="str">
        <f t="shared" ca="1" si="13"/>
        <v>Contact</v>
      </c>
      <c r="W37" t="str">
        <f t="shared" ca="1" si="13"/>
        <v>Contact</v>
      </c>
      <c r="X37" t="str">
        <f t="shared" ca="1" si="13"/>
        <v>Meridian</v>
      </c>
      <c r="Y37" t="str">
        <f t="shared" ca="1" si="13"/>
        <v>Meridian</v>
      </c>
      <c r="Z37" t="str">
        <f t="shared" ca="1" si="13"/>
        <v>Meridian</v>
      </c>
      <c r="AA37" t="str">
        <f t="shared" ca="1" si="13"/>
        <v>Meridian</v>
      </c>
      <c r="AB37" t="str">
        <f t="shared" ca="1" si="13"/>
        <v>Meridian</v>
      </c>
      <c r="AC37" t="str">
        <f t="shared" ca="1" si="13"/>
        <v>Meridian</v>
      </c>
      <c r="AD37" t="str">
        <f t="shared" ca="1" si="13"/>
        <v>Genesis</v>
      </c>
      <c r="AE37" t="str">
        <f t="shared" ca="1" si="13"/>
        <v>Genesis</v>
      </c>
      <c r="AF37" t="str">
        <f t="shared" ca="1" si="13"/>
        <v>Meridian</v>
      </c>
      <c r="AG37" t="str">
        <f t="shared" ca="1" si="13"/>
        <v>Meridian</v>
      </c>
      <c r="AH37" t="str">
        <f t="shared" ca="1" si="13"/>
        <v>Meridian</v>
      </c>
      <c r="AI37" t="str">
        <f t="shared" ca="1" si="13"/>
        <v>Meridian</v>
      </c>
      <c r="AJ37" t="str">
        <f t="shared" ca="1" si="13"/>
        <v>Transpower</v>
      </c>
      <c r="AK37">
        <f t="shared" ref="AK37:AL37" ca="1" si="14">OFFSET($A11,0,AK$34)</f>
        <v>0</v>
      </c>
      <c r="AL37">
        <f t="shared" ca="1" si="14"/>
        <v>0</v>
      </c>
    </row>
    <row r="38" spans="1:76" ht="14.45" x14ac:dyDescent="0.35">
      <c r="A38" t="s">
        <v>115</v>
      </c>
      <c r="B38" t="str">
        <f t="shared" ref="B38:AJ38" ca="1" si="15">OFFSET($A12,0,B$34)</f>
        <v>N</v>
      </c>
      <c r="C38" t="str">
        <f t="shared" ca="1" si="15"/>
        <v>N</v>
      </c>
      <c r="D38" t="str">
        <f t="shared" ca="1" si="15"/>
        <v>N</v>
      </c>
      <c r="E38" t="str">
        <f t="shared" ca="1" si="15"/>
        <v>N</v>
      </c>
      <c r="F38" t="str">
        <f t="shared" ca="1" si="15"/>
        <v>N</v>
      </c>
      <c r="G38" t="str">
        <f t="shared" ca="1" si="15"/>
        <v>N</v>
      </c>
      <c r="H38" t="str">
        <f t="shared" ca="1" si="15"/>
        <v>N</v>
      </c>
      <c r="I38" t="str">
        <f t="shared" ca="1" si="15"/>
        <v>N</v>
      </c>
      <c r="J38" t="str">
        <f t="shared" ca="1" si="15"/>
        <v>N</v>
      </c>
      <c r="K38" t="str">
        <f t="shared" ca="1" si="15"/>
        <v>N</v>
      </c>
      <c r="L38" t="str">
        <f t="shared" ca="1" si="15"/>
        <v>N</v>
      </c>
      <c r="M38" t="str">
        <f t="shared" ca="1" si="15"/>
        <v>S</v>
      </c>
      <c r="N38" t="str">
        <f t="shared" ca="1" si="15"/>
        <v>S</v>
      </c>
      <c r="O38" t="str">
        <f t="shared" ca="1" si="15"/>
        <v>S</v>
      </c>
      <c r="P38" t="str">
        <f t="shared" ca="1" si="15"/>
        <v>S</v>
      </c>
      <c r="Q38" t="str">
        <f t="shared" ca="1" si="15"/>
        <v>S</v>
      </c>
      <c r="R38" t="str">
        <f t="shared" ca="1" si="15"/>
        <v>S</v>
      </c>
      <c r="S38" t="str">
        <f t="shared" ca="1" si="15"/>
        <v>S</v>
      </c>
      <c r="T38" t="str">
        <f t="shared" ca="1" si="15"/>
        <v>S</v>
      </c>
      <c r="U38" t="str">
        <f t="shared" ca="1" si="15"/>
        <v>S</v>
      </c>
      <c r="V38" t="str">
        <f t="shared" ca="1" si="15"/>
        <v>S</v>
      </c>
      <c r="W38" t="str">
        <f t="shared" ca="1" si="15"/>
        <v>S</v>
      </c>
      <c r="X38" t="str">
        <f t="shared" ca="1" si="15"/>
        <v>S</v>
      </c>
      <c r="Y38" t="str">
        <f t="shared" ca="1" si="15"/>
        <v>S</v>
      </c>
      <c r="Z38" t="str">
        <f t="shared" ca="1" si="15"/>
        <v>S</v>
      </c>
      <c r="AA38" t="str">
        <f t="shared" ca="1" si="15"/>
        <v>S</v>
      </c>
      <c r="AB38" t="str">
        <f t="shared" ca="1" si="15"/>
        <v>S</v>
      </c>
      <c r="AC38" t="str">
        <f t="shared" ca="1" si="15"/>
        <v>S</v>
      </c>
      <c r="AD38" t="str">
        <f t="shared" ca="1" si="15"/>
        <v>S</v>
      </c>
      <c r="AE38" t="str">
        <f t="shared" ca="1" si="15"/>
        <v>S</v>
      </c>
      <c r="AF38" t="str">
        <f t="shared" ca="1" si="15"/>
        <v>S</v>
      </c>
      <c r="AG38" t="str">
        <f t="shared" ca="1" si="15"/>
        <v>S</v>
      </c>
      <c r="AH38" t="str">
        <f t="shared" ca="1" si="15"/>
        <v>S</v>
      </c>
      <c r="AI38" t="str">
        <f t="shared" ca="1" si="15"/>
        <v>S</v>
      </c>
      <c r="AJ38" t="str">
        <f t="shared" ca="1" si="15"/>
        <v>N</v>
      </c>
      <c r="AK38" t="str">
        <f t="shared" ref="AK38:AL38" ca="1" si="16">OFFSET($A12,0,AK$34)</f>
        <v>N</v>
      </c>
      <c r="AL38" t="str">
        <f t="shared" ca="1" si="16"/>
        <v>S</v>
      </c>
    </row>
    <row r="39" spans="1:76" ht="14.45" x14ac:dyDescent="0.35">
      <c r="A39" t="s">
        <v>212</v>
      </c>
      <c r="B39" s="7">
        <f t="shared" ref="B39:AL39" ca="1" si="17">OFFSET($A$9,$C$32,B$34)+COLUMN()/100000000</f>
        <v>340.00000002000002</v>
      </c>
      <c r="C39" s="7">
        <f t="shared" ca="1" si="17"/>
        <v>325.00000003000002</v>
      </c>
      <c r="D39" s="7">
        <f t="shared" ca="1" si="17"/>
        <v>190.00000004</v>
      </c>
      <c r="E39" s="7">
        <f t="shared" ca="1" si="17"/>
        <v>190.00000005000001</v>
      </c>
      <c r="F39" s="7">
        <f t="shared" ca="1" si="17"/>
        <v>40.000000059999998</v>
      </c>
      <c r="G39" s="7">
        <f t="shared" ca="1" si="17"/>
        <v>40.000000069999999</v>
      </c>
      <c r="H39" s="7">
        <f t="shared" ca="1" si="17"/>
        <v>8.0000000799999995</v>
      </c>
      <c r="I39" s="7">
        <f t="shared" ca="1" si="17"/>
        <v>78.00000009</v>
      </c>
      <c r="J39" s="7">
        <f t="shared" ca="1" si="17"/>
        <v>40.000000100000001</v>
      </c>
      <c r="K39" s="7">
        <f t="shared" ca="1" si="17"/>
        <v>23.000000109999998</v>
      </c>
      <c r="L39" s="7">
        <f t="shared" ca="1" si="17"/>
        <v>23.000000119999999</v>
      </c>
      <c r="M39" s="7">
        <f t="shared" ca="1" si="17"/>
        <v>62.000000129999997</v>
      </c>
      <c r="N39" s="7">
        <f t="shared" ca="1" si="17"/>
        <v>62.000000139999997</v>
      </c>
      <c r="O39" s="7">
        <f t="shared" ca="1" si="17"/>
        <v>62.000000149999998</v>
      </c>
      <c r="P39" s="7">
        <f t="shared" ca="1" si="17"/>
        <v>62.000000159999999</v>
      </c>
      <c r="Q39" s="7">
        <f t="shared" ca="1" si="17"/>
        <v>62.00000017</v>
      </c>
      <c r="R39" s="7">
        <f t="shared" ca="1" si="17"/>
        <v>62.000000180000001</v>
      </c>
      <c r="S39" s="7">
        <f t="shared" ca="1" si="17"/>
        <v>62.000000190000002</v>
      </c>
      <c r="T39" s="7">
        <f t="shared" ca="1" si="17"/>
        <v>48.000000200000002</v>
      </c>
      <c r="U39" s="7">
        <f t="shared" ca="1" si="17"/>
        <v>48.000000210000003</v>
      </c>
      <c r="V39" s="7">
        <f t="shared" ca="1" si="17"/>
        <v>48.000000219999997</v>
      </c>
      <c r="W39" s="7">
        <f t="shared" ca="1" si="17"/>
        <v>48.000000229999998</v>
      </c>
      <c r="X39" s="7">
        <f t="shared" ca="1" si="17"/>
        <v>30.000000239999999</v>
      </c>
      <c r="Y39" s="7">
        <f t="shared" ca="1" si="17"/>
        <v>30.000000249999999</v>
      </c>
      <c r="Z39" s="7">
        <f t="shared" ca="1" si="17"/>
        <v>30.00000026</v>
      </c>
      <c r="AA39" s="7">
        <f t="shared" ca="1" si="17"/>
        <v>30.000000270000001</v>
      </c>
      <c r="AB39" s="7">
        <f t="shared" ca="1" si="17"/>
        <v>30.000000279999998</v>
      </c>
      <c r="AC39" s="7">
        <f t="shared" ca="1" si="17"/>
        <v>30.000000289999999</v>
      </c>
      <c r="AD39" s="7">
        <f t="shared" ca="1" si="17"/>
        <v>17.0000003</v>
      </c>
      <c r="AE39" s="7">
        <f t="shared" ca="1" si="17"/>
        <v>17.000000310000001</v>
      </c>
      <c r="AF39" s="7">
        <f t="shared" ca="1" si="17"/>
        <v>6.0000003199999998</v>
      </c>
      <c r="AG39" s="7">
        <f t="shared" ca="1" si="17"/>
        <v>6.0000003299999998</v>
      </c>
      <c r="AH39" s="7">
        <f t="shared" ca="1" si="17"/>
        <v>6.0000003399999997</v>
      </c>
      <c r="AI39" s="7">
        <f t="shared" ca="1" si="17"/>
        <v>6.0000003499999996</v>
      </c>
      <c r="AJ39" s="7">
        <f t="shared" ca="1" si="17"/>
        <v>42.000000360000001</v>
      </c>
      <c r="AK39" s="7">
        <f t="shared" ca="1" si="17"/>
        <v>3.7E-7</v>
      </c>
      <c r="AL39" s="7">
        <f t="shared" ca="1" si="17"/>
        <v>3.8000000000000001E-7</v>
      </c>
      <c r="AM39" t="s">
        <v>94</v>
      </c>
      <c r="AN39" s="9">
        <f ca="1">SUM(A39:AM39)-AJ39</f>
        <v>2161.0000070400006</v>
      </c>
      <c r="AO39" t="b">
        <f ca="1">ROUND(AN39,0)=ROUND(Sheet1!L5,0)</f>
        <v>0</v>
      </c>
    </row>
    <row r="40" spans="1:76" ht="14.45" x14ac:dyDescent="0.35">
      <c r="A40" t="s">
        <v>245</v>
      </c>
      <c r="B40" s="30">
        <f ca="1">OFFSET($A$9,0,B$34)+COLUMN()/100000000</f>
        <v>400.00000002000002</v>
      </c>
      <c r="C40" s="30">
        <f t="shared" ref="C40:AL40" ca="1" si="18">OFFSET($A$9,0,C$34)+COLUMN()/100000000</f>
        <v>385.00000003000002</v>
      </c>
      <c r="D40" s="30">
        <f t="shared" ca="1" si="18"/>
        <v>250.00000004</v>
      </c>
      <c r="E40" s="30">
        <f t="shared" ca="1" si="18"/>
        <v>250.00000005000001</v>
      </c>
      <c r="F40" s="30">
        <f t="shared" ca="1" si="18"/>
        <v>100.00000006</v>
      </c>
      <c r="G40" s="30">
        <f t="shared" ca="1" si="18"/>
        <v>100.00000007</v>
      </c>
      <c r="H40" s="30">
        <f t="shared" ca="1" si="18"/>
        <v>68.000000080000007</v>
      </c>
      <c r="I40" s="30">
        <f t="shared" ca="1" si="18"/>
        <v>138.00000008999999</v>
      </c>
      <c r="J40" s="30">
        <f t="shared" ca="1" si="18"/>
        <v>100.00000009999999</v>
      </c>
      <c r="K40" s="30">
        <f t="shared" ca="1" si="18"/>
        <v>83.000000110000002</v>
      </c>
      <c r="L40" s="30">
        <f t="shared" ca="1" si="18"/>
        <v>83.000000119999996</v>
      </c>
      <c r="M40" s="30">
        <f t="shared" ca="1" si="18"/>
        <v>122.00000013</v>
      </c>
      <c r="N40" s="30">
        <f t="shared" ca="1" si="18"/>
        <v>122.00000014</v>
      </c>
      <c r="O40" s="30">
        <f t="shared" ca="1" si="18"/>
        <v>122.00000015000001</v>
      </c>
      <c r="P40" s="30">
        <f t="shared" ca="1" si="18"/>
        <v>122.00000016</v>
      </c>
      <c r="Q40" s="30">
        <f t="shared" ca="1" si="18"/>
        <v>122.00000017000001</v>
      </c>
      <c r="R40" s="30">
        <f t="shared" ca="1" si="18"/>
        <v>122.00000018</v>
      </c>
      <c r="S40" s="30">
        <f t="shared" ca="1" si="18"/>
        <v>122.00000018999999</v>
      </c>
      <c r="T40" s="30">
        <f t="shared" ca="1" si="18"/>
        <v>108.0000002</v>
      </c>
      <c r="U40" s="30">
        <f t="shared" ca="1" si="18"/>
        <v>108.00000021</v>
      </c>
      <c r="V40" s="30">
        <f t="shared" ca="1" si="18"/>
        <v>108.00000022</v>
      </c>
      <c r="W40" s="30">
        <f t="shared" ca="1" si="18"/>
        <v>108.00000023</v>
      </c>
      <c r="X40" s="30">
        <f t="shared" ca="1" si="18"/>
        <v>90.000000240000006</v>
      </c>
      <c r="Y40" s="30">
        <f t="shared" ca="1" si="18"/>
        <v>90.000000249999999</v>
      </c>
      <c r="Z40" s="30">
        <f t="shared" ca="1" si="18"/>
        <v>90.000000259999993</v>
      </c>
      <c r="AA40" s="30">
        <f t="shared" ca="1" si="18"/>
        <v>90.000000270000001</v>
      </c>
      <c r="AB40" s="30">
        <f t="shared" ca="1" si="18"/>
        <v>90.000000279999995</v>
      </c>
      <c r="AC40" s="30">
        <f t="shared" ca="1" si="18"/>
        <v>90.000000290000003</v>
      </c>
      <c r="AD40" s="30">
        <f t="shared" ca="1" si="18"/>
        <v>77.000000299999996</v>
      </c>
      <c r="AE40" s="30">
        <f t="shared" ca="1" si="18"/>
        <v>77.000000310000004</v>
      </c>
      <c r="AF40" s="30">
        <f t="shared" ca="1" si="18"/>
        <v>66.000000319999998</v>
      </c>
      <c r="AG40" s="30">
        <f t="shared" ca="1" si="18"/>
        <v>66.000000330000006</v>
      </c>
      <c r="AH40" s="30">
        <f t="shared" ca="1" si="18"/>
        <v>66.00000034</v>
      </c>
      <c r="AI40" s="30">
        <f t="shared" ca="1" si="18"/>
        <v>66.000000349999993</v>
      </c>
      <c r="AJ40" s="30">
        <f t="shared" ca="1" si="18"/>
        <v>102.00000036</v>
      </c>
      <c r="AK40" s="30">
        <f t="shared" ca="1" si="18"/>
        <v>3.7E-7</v>
      </c>
      <c r="AL40" s="30">
        <f t="shared" ca="1" si="18"/>
        <v>3.8000000000000001E-7</v>
      </c>
      <c r="AM40" t="s">
        <v>94</v>
      </c>
      <c r="AN40" s="9"/>
      <c r="AY40" t="s">
        <v>255</v>
      </c>
      <c r="BE40" t="s">
        <v>256</v>
      </c>
      <c r="BK40" t="s">
        <v>257</v>
      </c>
    </row>
    <row r="41" spans="1:76" ht="14.45" x14ac:dyDescent="0.35">
      <c r="A41" t="s">
        <v>190</v>
      </c>
      <c r="B41">
        <f ca="1">_xlfn.RANK.AVG(B40,$B$40:$AM$40)</f>
        <v>1</v>
      </c>
      <c r="C41">
        <f t="shared" ref="C41:AL41" ca="1" si="19">_xlfn.RANK.AVG(C40,$B$40:$AM$40)</f>
        <v>2</v>
      </c>
      <c r="D41">
        <f t="shared" ca="1" si="19"/>
        <v>4</v>
      </c>
      <c r="E41">
        <f t="shared" ca="1" si="19"/>
        <v>3</v>
      </c>
      <c r="F41">
        <f t="shared" ca="1" si="19"/>
        <v>20</v>
      </c>
      <c r="G41">
        <f t="shared" ca="1" si="19"/>
        <v>19</v>
      </c>
      <c r="H41">
        <f t="shared" ca="1" si="19"/>
        <v>31</v>
      </c>
      <c r="I41">
        <f t="shared" ca="1" si="19"/>
        <v>5</v>
      </c>
      <c r="J41">
        <f t="shared" ca="1" si="19"/>
        <v>18</v>
      </c>
      <c r="K41">
        <f t="shared" ca="1" si="19"/>
        <v>28</v>
      </c>
      <c r="L41">
        <f t="shared" ca="1" si="19"/>
        <v>27</v>
      </c>
      <c r="M41">
        <f t="shared" ca="1" si="19"/>
        <v>12</v>
      </c>
      <c r="N41">
        <f t="shared" ca="1" si="19"/>
        <v>11</v>
      </c>
      <c r="O41">
        <f t="shared" ca="1" si="19"/>
        <v>10</v>
      </c>
      <c r="P41">
        <f t="shared" ca="1" si="19"/>
        <v>9</v>
      </c>
      <c r="Q41">
        <f t="shared" ca="1" si="19"/>
        <v>8</v>
      </c>
      <c r="R41">
        <f t="shared" ca="1" si="19"/>
        <v>7</v>
      </c>
      <c r="S41">
        <f t="shared" ca="1" si="19"/>
        <v>6</v>
      </c>
      <c r="T41">
        <f t="shared" ca="1" si="19"/>
        <v>16</v>
      </c>
      <c r="U41">
        <f t="shared" ca="1" si="19"/>
        <v>15</v>
      </c>
      <c r="V41">
        <f t="shared" ca="1" si="19"/>
        <v>14</v>
      </c>
      <c r="W41">
        <f t="shared" ca="1" si="19"/>
        <v>13</v>
      </c>
      <c r="X41">
        <f t="shared" ca="1" si="19"/>
        <v>26</v>
      </c>
      <c r="Y41">
        <f t="shared" ca="1" si="19"/>
        <v>25</v>
      </c>
      <c r="Z41">
        <f t="shared" ca="1" si="19"/>
        <v>24</v>
      </c>
      <c r="AA41">
        <f t="shared" ca="1" si="19"/>
        <v>23</v>
      </c>
      <c r="AB41">
        <f t="shared" ca="1" si="19"/>
        <v>22</v>
      </c>
      <c r="AC41">
        <f t="shared" ca="1" si="19"/>
        <v>21</v>
      </c>
      <c r="AD41">
        <f t="shared" ca="1" si="19"/>
        <v>30</v>
      </c>
      <c r="AE41">
        <f t="shared" ca="1" si="19"/>
        <v>29</v>
      </c>
      <c r="AF41">
        <f t="shared" ca="1" si="19"/>
        <v>35</v>
      </c>
      <c r="AG41">
        <f t="shared" ca="1" si="19"/>
        <v>34</v>
      </c>
      <c r="AH41">
        <f t="shared" ca="1" si="19"/>
        <v>33</v>
      </c>
      <c r="AI41">
        <f t="shared" ca="1" si="19"/>
        <v>32</v>
      </c>
      <c r="AJ41">
        <f t="shared" ca="1" si="19"/>
        <v>17</v>
      </c>
      <c r="AK41">
        <f t="shared" ca="1" si="19"/>
        <v>37</v>
      </c>
      <c r="AL41">
        <f t="shared" ca="1" si="19"/>
        <v>36</v>
      </c>
      <c r="AM41" t="s">
        <v>94</v>
      </c>
      <c r="AP41" t="s">
        <v>246</v>
      </c>
      <c r="AY41" t="s">
        <v>251</v>
      </c>
      <c r="BB41" t="s">
        <v>252</v>
      </c>
      <c r="BE41" s="16" t="str">
        <f>IF(AY41&lt;&gt;"",AY41,"")</f>
        <v>0 = No large thermals</v>
      </c>
      <c r="BF41" s="16" t="str">
        <f t="shared" ref="BF41:BX41" si="20">IF(AZ41&lt;&gt;"",AZ41,"")</f>
        <v/>
      </c>
      <c r="BG41" s="16" t="str">
        <f t="shared" si="20"/>
        <v/>
      </c>
      <c r="BH41" s="16" t="str">
        <f t="shared" si="20"/>
        <v>1 = With large thermals</v>
      </c>
      <c r="BI41" s="16" t="str">
        <f t="shared" si="20"/>
        <v/>
      </c>
      <c r="BJ41" s="16" t="str">
        <f t="shared" si="20"/>
        <v/>
      </c>
      <c r="BK41" s="16" t="str">
        <f t="shared" si="20"/>
        <v>0 = No large thermals</v>
      </c>
      <c r="BL41" s="16" t="str">
        <f t="shared" si="20"/>
        <v/>
      </c>
      <c r="BM41" s="16" t="str">
        <f t="shared" si="20"/>
        <v/>
      </c>
      <c r="BN41" s="16" t="str">
        <f t="shared" si="20"/>
        <v>1 = With large thermals</v>
      </c>
      <c r="BO41" s="16" t="str">
        <f t="shared" si="20"/>
        <v/>
      </c>
      <c r="BP41" s="16" t="str">
        <f t="shared" si="20"/>
        <v/>
      </c>
      <c r="BX41" t="str">
        <f t="shared" si="20"/>
        <v/>
      </c>
    </row>
    <row r="42" spans="1:76" ht="14.45" x14ac:dyDescent="0.35">
      <c r="A42" t="s">
        <v>211</v>
      </c>
      <c r="B42" s="22">
        <f ca="1">OFFSET($A$51,0,MATCH(B$35,$B$46:$AJ$46,0))</f>
        <v>118.59306062375323</v>
      </c>
      <c r="C42" s="22">
        <f t="shared" ref="C42:AL42" ca="1" si="21">OFFSET($A$51,0,MATCH(C$35,$B$46:$AJ$46,0))</f>
        <v>103.59306062375323</v>
      </c>
      <c r="D42" s="22">
        <f t="shared" ca="1" si="21"/>
        <v>36.093060623753217</v>
      </c>
      <c r="E42" s="22">
        <f t="shared" ca="1" si="21"/>
        <v>36.093060623753217</v>
      </c>
      <c r="F42" s="22">
        <f t="shared" ca="1" si="21"/>
        <v>3.2337468982630271</v>
      </c>
      <c r="G42" s="22">
        <f t="shared" ca="1" si="21"/>
        <v>3.2337468982630271</v>
      </c>
      <c r="H42" s="22">
        <f t="shared" ca="1" si="21"/>
        <v>1.9502304147465437</v>
      </c>
      <c r="I42" s="22">
        <f t="shared" ca="1" si="21"/>
        <v>8.0930606237532228</v>
      </c>
      <c r="J42" s="22">
        <f t="shared" ca="1" si="21"/>
        <v>3.2337468982630271</v>
      </c>
      <c r="K42" s="22">
        <f t="shared" ca="1" si="21"/>
        <v>2.4645161290322579</v>
      </c>
      <c r="L42" s="22">
        <f t="shared" ca="1" si="21"/>
        <v>2.4645161290322579</v>
      </c>
      <c r="M42" s="22">
        <f t="shared" ca="1" si="21"/>
        <v>4.8930606237532235</v>
      </c>
      <c r="N42" s="22">
        <f t="shared" ca="1" si="21"/>
        <v>4.8930606237532235</v>
      </c>
      <c r="O42" s="22">
        <f t="shared" ca="1" si="21"/>
        <v>4.8930606237532235</v>
      </c>
      <c r="P42" s="22">
        <f t="shared" ca="1" si="21"/>
        <v>4.8930606237532235</v>
      </c>
      <c r="Q42" s="22">
        <f t="shared" ca="1" si="21"/>
        <v>4.8930606237532235</v>
      </c>
      <c r="R42" s="22">
        <f t="shared" ca="1" si="21"/>
        <v>4.8930606237532235</v>
      </c>
      <c r="S42" s="22">
        <f t="shared" ca="1" si="21"/>
        <v>4.8930606237532235</v>
      </c>
      <c r="T42" s="22">
        <f t="shared" ca="1" si="21"/>
        <v>3.7263939570865565</v>
      </c>
      <c r="U42" s="22">
        <f t="shared" ca="1" si="21"/>
        <v>3.7263939570865565</v>
      </c>
      <c r="V42" s="22">
        <f t="shared" ca="1" si="21"/>
        <v>3.7263939570865565</v>
      </c>
      <c r="W42" s="22">
        <f t="shared" ca="1" si="21"/>
        <v>3.7263939570865565</v>
      </c>
      <c r="X42" s="22">
        <f t="shared" ca="1" si="21"/>
        <v>2.7337468982630271</v>
      </c>
      <c r="Y42" s="22">
        <f t="shared" ca="1" si="21"/>
        <v>2.7337468982630271</v>
      </c>
      <c r="Z42" s="22">
        <f t="shared" ca="1" si="21"/>
        <v>2.7337468982630271</v>
      </c>
      <c r="AA42" s="22">
        <f t="shared" ca="1" si="21"/>
        <v>2.7337468982630271</v>
      </c>
      <c r="AB42" s="22">
        <f t="shared" ca="1" si="21"/>
        <v>2.7337468982630271</v>
      </c>
      <c r="AC42" s="22">
        <f t="shared" ca="1" si="21"/>
        <v>2.7337468982630271</v>
      </c>
      <c r="AD42" s="22">
        <f t="shared" ca="1" si="21"/>
        <v>2.2502304147465439</v>
      </c>
      <c r="AE42" s="22">
        <f t="shared" ca="1" si="21"/>
        <v>2.2502304147465439</v>
      </c>
      <c r="AF42" s="22">
        <f t="shared" ca="1" si="21"/>
        <v>1.8857142857142857</v>
      </c>
      <c r="AG42" s="22">
        <f t="shared" ca="1" si="21"/>
        <v>1.8857142857142857</v>
      </c>
      <c r="AH42" s="22">
        <f t="shared" ca="1" si="21"/>
        <v>1.8857142857142857</v>
      </c>
      <c r="AI42" s="22">
        <f t="shared" ca="1" si="21"/>
        <v>1.8857142857142857</v>
      </c>
      <c r="AJ42" s="22">
        <f t="shared" ca="1" si="21"/>
        <v>3.3513939570865565</v>
      </c>
      <c r="AK42" t="e">
        <f t="shared" ca="1" si="21"/>
        <v>#N/A</v>
      </c>
      <c r="AL42" t="e">
        <f t="shared" ca="1" si="21"/>
        <v>#N/A</v>
      </c>
      <c r="AP42" t="s">
        <v>116</v>
      </c>
      <c r="AQ42" t="s">
        <v>117</v>
      </c>
      <c r="AR42" t="s">
        <v>63</v>
      </c>
      <c r="AS42" t="s">
        <v>17</v>
      </c>
      <c r="AY42" t="s">
        <v>116</v>
      </c>
      <c r="AZ42" t="s">
        <v>117</v>
      </c>
      <c r="BA42" t="s">
        <v>63</v>
      </c>
      <c r="BB42" t="s">
        <v>116</v>
      </c>
      <c r="BC42" t="s">
        <v>117</v>
      </c>
      <c r="BD42" t="s">
        <v>63</v>
      </c>
      <c r="BE42" s="62" t="str">
        <f>AY42</f>
        <v>N</v>
      </c>
      <c r="BF42" s="16" t="str">
        <f t="shared" ref="BF42:BX42" si="22">AZ42</f>
        <v>S</v>
      </c>
      <c r="BG42" s="16" t="str">
        <f t="shared" si="22"/>
        <v>HVDC</v>
      </c>
      <c r="BH42" s="16" t="str">
        <f t="shared" si="22"/>
        <v>N</v>
      </c>
      <c r="BI42" s="16" t="str">
        <f t="shared" si="22"/>
        <v>S</v>
      </c>
      <c r="BJ42" s="16" t="str">
        <f t="shared" si="22"/>
        <v>HVDC</v>
      </c>
      <c r="BK42" s="62" t="str">
        <f t="shared" si="22"/>
        <v>N</v>
      </c>
      <c r="BL42" s="16" t="str">
        <f t="shared" si="22"/>
        <v>S</v>
      </c>
      <c r="BM42" s="16" t="str">
        <f t="shared" si="22"/>
        <v>HVDC</v>
      </c>
      <c r="BN42" s="16" t="str">
        <f t="shared" si="22"/>
        <v>N</v>
      </c>
      <c r="BO42" s="16" t="str">
        <f t="shared" si="22"/>
        <v>S</v>
      </c>
      <c r="BP42" s="16" t="str">
        <f t="shared" si="22"/>
        <v>HVDC</v>
      </c>
      <c r="BX42">
        <f t="shared" si="22"/>
        <v>0</v>
      </c>
    </row>
    <row r="43" spans="1:76" ht="14.45" x14ac:dyDescent="0.35">
      <c r="AP43" s="22">
        <f t="array" aca="1" ref="AP43" ca="1">SUM(IF(ISNA($A$42:$AM$42)=FALSE,IF($A$38:$AM$38=AP$42,IF($A$37:$AM$37&lt;&gt;"Transpower",$A$42:$AM$42))))</f>
        <v>319.04580648636613</v>
      </c>
      <c r="AQ43" s="22">
        <f t="array" aca="1" ref="AQ43" ca="1">SUM(IF(ISNA($A$42:$AM$42)=FALSE,IF($A$38:$AM$38=AQ$42,IF($A$37:$AM$37&lt;&gt;"Transpower",$A$42:$AM$42))))</f>
        <v>77.602799556547183</v>
      </c>
      <c r="AR43" s="22">
        <f t="array" aca="1" ref="AR43" ca="1">SUM(IF(ISNA($A$42:$AM$42)=FALSE,$A$42:$AM$42))-SUM(AP43:AQ43)</f>
        <v>3.3513939570864864</v>
      </c>
      <c r="AS43" s="58">
        <f ca="1">SUM(AP43:AR43)</f>
        <v>399.99999999999983</v>
      </c>
      <c r="AW43" t="s">
        <v>254</v>
      </c>
      <c r="AX43">
        <v>0</v>
      </c>
      <c r="AY43" s="63">
        <v>42.080345596432544</v>
      </c>
      <c r="AZ43" s="63">
        <v>95.919654403567492</v>
      </c>
      <c r="BA43" s="63">
        <v>0</v>
      </c>
      <c r="BB43" s="63">
        <v>320.19580465701108</v>
      </c>
      <c r="BC43" s="63">
        <v>79.80419534298899</v>
      </c>
      <c r="BD43" s="63">
        <v>0</v>
      </c>
      <c r="BE43" s="2">
        <f t="shared" ref="BE43:BE48" si="23">AY43/SUM($AY43:$BA43)</f>
        <v>0.30493004055385897</v>
      </c>
      <c r="BF43" s="2">
        <f t="shared" ref="BF43:BG43" si="24">AZ43/SUM($AY43:$BA43)</f>
        <v>0.69506995944614114</v>
      </c>
      <c r="BG43" s="2">
        <f t="shared" si="24"/>
        <v>0</v>
      </c>
      <c r="BH43" s="2">
        <f t="shared" ref="BH43:BH48" si="25">BB43/SUM($BB43:$BD43)</f>
        <v>0.80048951164252757</v>
      </c>
      <c r="BI43" s="2">
        <f t="shared" ref="BI43:BJ43" si="26">BC43/SUM($BB43:$BD43)</f>
        <v>0.19951048835747245</v>
      </c>
      <c r="BJ43" s="2">
        <f t="shared" si="26"/>
        <v>0</v>
      </c>
      <c r="BK43" s="2">
        <f t="shared" ref="BK43:BK48" si="27">AY43/SUM($AY43,$BA43)</f>
        <v>1</v>
      </c>
      <c r="BL43" s="52">
        <v>1</v>
      </c>
      <c r="BM43" s="2">
        <f t="shared" ref="BM43:BM48" si="28">BA43/SUM($AY43,$BA43)</f>
        <v>0</v>
      </c>
      <c r="BN43" s="2">
        <f t="shared" ref="BN43:BN48" si="29">BB43/SUM($BB43,$BD43)</f>
        <v>1</v>
      </c>
      <c r="BO43" s="52">
        <v>1</v>
      </c>
      <c r="BP43" s="2">
        <f t="shared" ref="BP43:BP48" si="30">BD43/SUM($BB43,$BD43)</f>
        <v>0</v>
      </c>
    </row>
    <row r="44" spans="1:76" ht="14.45" x14ac:dyDescent="0.35">
      <c r="AO44" t="s">
        <v>249</v>
      </c>
      <c r="AP44" s="2">
        <f ca="1">AP43/$AS43</f>
        <v>0.79761451621591573</v>
      </c>
      <c r="AQ44" s="2">
        <f t="shared" ref="AQ44:AR44" ca="1" si="31">AQ43/$AS43</f>
        <v>0.19400699889136805</v>
      </c>
      <c r="AR44" s="2">
        <f t="shared" ca="1" si="31"/>
        <v>8.3784848927162189E-3</v>
      </c>
      <c r="AX44">
        <v>600</v>
      </c>
      <c r="AY44" s="63">
        <v>41.175240828466627</v>
      </c>
      <c r="AZ44" s="63">
        <v>92.928471021212957</v>
      </c>
      <c r="BA44" s="63">
        <v>3.8962881503203448</v>
      </c>
      <c r="BB44" s="63">
        <v>319.04580648636613</v>
      </c>
      <c r="BC44" s="63">
        <v>77.602799556547183</v>
      </c>
      <c r="BD44" s="63">
        <v>3.3513939570864864</v>
      </c>
      <c r="BE44" s="2">
        <f t="shared" si="23"/>
        <v>0.29837131035120756</v>
      </c>
      <c r="BF44" s="2">
        <f t="shared" ref="BF44" si="32">AZ44/SUM($AY44:$BA44)</f>
        <v>0.67339471754502167</v>
      </c>
      <c r="BG44" s="2">
        <f t="shared" ref="BG44" si="33">BA44/SUM($AY44:$BA44)</f>
        <v>2.8233972103770627E-2</v>
      </c>
      <c r="BH44" s="2">
        <f t="shared" si="25"/>
        <v>0.79761451621591573</v>
      </c>
      <c r="BI44" s="2">
        <f t="shared" ref="BI44" si="34">BC44/SUM($BB44:$BD44)</f>
        <v>0.19400699889136805</v>
      </c>
      <c r="BJ44" s="2">
        <f t="shared" ref="BJ44" si="35">BD44/SUM($BB44:$BD44)</f>
        <v>8.3784848927162189E-3</v>
      </c>
      <c r="BK44" s="2">
        <f t="shared" si="27"/>
        <v>0.91355322886529666</v>
      </c>
      <c r="BL44" s="52">
        <v>1</v>
      </c>
      <c r="BM44" s="2">
        <f t="shared" si="28"/>
        <v>8.6446771134703296E-2</v>
      </c>
      <c r="BN44" s="2">
        <f t="shared" si="29"/>
        <v>0.98960476718632573</v>
      </c>
      <c r="BO44" s="52">
        <v>1</v>
      </c>
      <c r="BP44" s="2">
        <f t="shared" si="30"/>
        <v>1.0395232813674229E-2</v>
      </c>
    </row>
    <row r="45" spans="1:76" ht="14.45" x14ac:dyDescent="0.35">
      <c r="A45" t="s">
        <v>191</v>
      </c>
      <c r="B45">
        <f t="shared" ref="B45:AJ45" ca="1" si="36">MATCH(B$33,$A$41:$AM$41,0)-1</f>
        <v>1</v>
      </c>
      <c r="C45">
        <f t="shared" ca="1" si="36"/>
        <v>2</v>
      </c>
      <c r="D45">
        <f t="shared" ca="1" si="36"/>
        <v>4</v>
      </c>
      <c r="E45">
        <f t="shared" ca="1" si="36"/>
        <v>3</v>
      </c>
      <c r="F45">
        <f t="shared" ca="1" si="36"/>
        <v>8</v>
      </c>
      <c r="G45">
        <f t="shared" ca="1" si="36"/>
        <v>18</v>
      </c>
      <c r="H45">
        <f t="shared" ca="1" si="36"/>
        <v>17</v>
      </c>
      <c r="I45">
        <f t="shared" ca="1" si="36"/>
        <v>16</v>
      </c>
      <c r="J45">
        <f t="shared" ca="1" si="36"/>
        <v>15</v>
      </c>
      <c r="K45">
        <f t="shared" ca="1" si="36"/>
        <v>14</v>
      </c>
      <c r="L45">
        <f t="shared" ca="1" si="36"/>
        <v>13</v>
      </c>
      <c r="M45">
        <f t="shared" ca="1" si="36"/>
        <v>12</v>
      </c>
      <c r="N45">
        <f t="shared" ca="1" si="36"/>
        <v>22</v>
      </c>
      <c r="O45">
        <f t="shared" ca="1" si="36"/>
        <v>21</v>
      </c>
      <c r="P45">
        <f t="shared" ca="1" si="36"/>
        <v>20</v>
      </c>
      <c r="Q45">
        <f t="shared" ca="1" si="36"/>
        <v>19</v>
      </c>
      <c r="R45">
        <f t="shared" ca="1" si="36"/>
        <v>35</v>
      </c>
      <c r="S45">
        <f t="shared" ca="1" si="36"/>
        <v>9</v>
      </c>
      <c r="T45">
        <f t="shared" ca="1" si="36"/>
        <v>6</v>
      </c>
      <c r="U45">
        <f t="shared" ca="1" si="36"/>
        <v>5</v>
      </c>
      <c r="V45">
        <f t="shared" ca="1" si="36"/>
        <v>28</v>
      </c>
      <c r="W45">
        <f t="shared" ca="1" si="36"/>
        <v>27</v>
      </c>
      <c r="X45">
        <f t="shared" ca="1" si="36"/>
        <v>26</v>
      </c>
      <c r="Y45">
        <f t="shared" ca="1" si="36"/>
        <v>25</v>
      </c>
      <c r="Z45">
        <f t="shared" ca="1" si="36"/>
        <v>24</v>
      </c>
      <c r="AA45">
        <f t="shared" ca="1" si="36"/>
        <v>23</v>
      </c>
      <c r="AB45">
        <f t="shared" ca="1" si="36"/>
        <v>11</v>
      </c>
      <c r="AC45">
        <f t="shared" ca="1" si="36"/>
        <v>10</v>
      </c>
      <c r="AD45">
        <f t="shared" ca="1" si="36"/>
        <v>30</v>
      </c>
      <c r="AE45">
        <f t="shared" ca="1" si="36"/>
        <v>29</v>
      </c>
      <c r="AF45">
        <f t="shared" ca="1" si="36"/>
        <v>7</v>
      </c>
      <c r="AG45">
        <f t="shared" ca="1" si="36"/>
        <v>34</v>
      </c>
      <c r="AH45">
        <f t="shared" ca="1" si="36"/>
        <v>33</v>
      </c>
      <c r="AI45">
        <f t="shared" ca="1" si="36"/>
        <v>32</v>
      </c>
      <c r="AJ45">
        <f t="shared" ca="1" si="36"/>
        <v>31</v>
      </c>
      <c r="AO45" t="s">
        <v>250</v>
      </c>
      <c r="AP45" s="2">
        <f ca="1">AP43/SUM($AP$43:$AQ$43)</f>
        <v>0.80435378222871812</v>
      </c>
      <c r="AQ45" s="2">
        <f ca="1">AQ43/SUM($AP$43:$AQ$43)</f>
        <v>0.1956462177712818</v>
      </c>
      <c r="AX45">
        <v>700</v>
      </c>
      <c r="AY45" s="63">
        <v>32.942334845560652</v>
      </c>
      <c r="AZ45" s="63">
        <v>91.144282987024923</v>
      </c>
      <c r="BA45" s="63">
        <v>77.913382167414426</v>
      </c>
      <c r="BB45" s="63">
        <v>303.02012775333446</v>
      </c>
      <c r="BC45" s="63">
        <v>76.731947369518522</v>
      </c>
      <c r="BD45" s="63">
        <v>20.247924877147057</v>
      </c>
      <c r="BE45" s="2">
        <f t="shared" si="23"/>
        <v>0.16308086557208243</v>
      </c>
      <c r="BF45" s="2">
        <f t="shared" ref="BF45:BG48" si="37">AZ45/SUM($AY45:$BA45)</f>
        <v>0.45120932171794514</v>
      </c>
      <c r="BG45" s="2">
        <f t="shared" si="37"/>
        <v>0.3857098127099724</v>
      </c>
      <c r="BH45" s="2">
        <f t="shared" si="25"/>
        <v>0.75755031938333606</v>
      </c>
      <c r="BI45" s="2">
        <f t="shared" ref="BI45:BJ48" si="38">BC45/SUM($BB45:$BD45)</f>
        <v>0.19182986842379629</v>
      </c>
      <c r="BJ45" s="2">
        <f t="shared" si="38"/>
        <v>5.0619812192867632E-2</v>
      </c>
      <c r="BK45" s="2">
        <f t="shared" si="27"/>
        <v>0.29716405913196992</v>
      </c>
      <c r="BL45" s="52">
        <v>1</v>
      </c>
      <c r="BM45" s="2">
        <f t="shared" si="28"/>
        <v>0.70283594086803003</v>
      </c>
      <c r="BN45" s="2">
        <f t="shared" si="29"/>
        <v>0.93736490595842492</v>
      </c>
      <c r="BO45" s="52">
        <v>1</v>
      </c>
      <c r="BP45" s="2">
        <f t="shared" si="30"/>
        <v>6.2635094041575093E-2</v>
      </c>
    </row>
    <row r="46" spans="1:76" x14ac:dyDescent="0.25">
      <c r="A46" t="s">
        <v>49</v>
      </c>
      <c r="B46" t="str">
        <f ca="1">OFFSET($A$35,0,B$45)</f>
        <v>Huntly - e3p</v>
      </c>
      <c r="C46" t="str">
        <f t="shared" ref="C46:AJ46" ca="1" si="39">OFFSET($A$35,0,C$45)</f>
        <v>TCC</v>
      </c>
      <c r="D46" t="str">
        <f t="shared" ca="1" si="39"/>
        <v>Huntly Rankines</v>
      </c>
      <c r="E46" t="str">
        <f t="shared" ca="1" si="39"/>
        <v>Huntly Rankines</v>
      </c>
      <c r="F46" t="str">
        <f t="shared" ca="1" si="39"/>
        <v>Nga Awa Purua</v>
      </c>
      <c r="G46" t="str">
        <f t="shared" ca="1" si="39"/>
        <v>Manapouri</v>
      </c>
      <c r="H46" t="str">
        <f t="shared" ca="1" si="39"/>
        <v>Manapouri</v>
      </c>
      <c r="I46" t="str">
        <f t="shared" ca="1" si="39"/>
        <v>Manapouri</v>
      </c>
      <c r="J46" t="str">
        <f t="shared" ca="1" si="39"/>
        <v>Manapouri</v>
      </c>
      <c r="K46" t="str">
        <f t="shared" ca="1" si="39"/>
        <v>Manapouri</v>
      </c>
      <c r="L46" t="str">
        <f t="shared" ca="1" si="39"/>
        <v>Manapouri</v>
      </c>
      <c r="M46" t="str">
        <f t="shared" ca="1" si="39"/>
        <v>Manapouri</v>
      </c>
      <c r="N46" t="str">
        <f t="shared" ca="1" si="39"/>
        <v>Clutha -Clyde</v>
      </c>
      <c r="O46" t="str">
        <f t="shared" ca="1" si="39"/>
        <v>Clutha -Clyde</v>
      </c>
      <c r="P46" t="str">
        <f t="shared" ca="1" si="39"/>
        <v>Clutha -Clyde</v>
      </c>
      <c r="Q46" t="str">
        <f t="shared" ca="1" si="39"/>
        <v>Clutha -Clyde</v>
      </c>
      <c r="R46" t="str">
        <f t="shared" ca="1" si="39"/>
        <v>HVDC CE risk</v>
      </c>
      <c r="S46" t="str">
        <f t="shared" ca="1" si="39"/>
        <v>Kawerau</v>
      </c>
      <c r="T46" t="str">
        <f t="shared" ca="1" si="39"/>
        <v>Stratford pkrs</v>
      </c>
      <c r="U46" t="str">
        <f t="shared" ca="1" si="39"/>
        <v>Stratford pkrs</v>
      </c>
      <c r="V46" t="str">
        <f t="shared" ca="1" si="39"/>
        <v>Waitaki - Benmore</v>
      </c>
      <c r="W46" t="str">
        <f t="shared" ca="1" si="39"/>
        <v>Waitaki - Benmore</v>
      </c>
      <c r="X46" t="str">
        <f t="shared" ca="1" si="39"/>
        <v>Waitaki - Benmore</v>
      </c>
      <c r="Y46" t="str">
        <f t="shared" ca="1" si="39"/>
        <v>Waitaki - Benmore</v>
      </c>
      <c r="Z46" t="str">
        <f t="shared" ca="1" si="39"/>
        <v>Waitaki - Benmore</v>
      </c>
      <c r="AA46" t="str">
        <f t="shared" ca="1" si="39"/>
        <v>Waitaki - Benmore</v>
      </c>
      <c r="AB46" t="str">
        <f t="shared" ca="1" si="39"/>
        <v>Te Mihi</v>
      </c>
      <c r="AC46" t="str">
        <f t="shared" ca="1" si="39"/>
        <v>Te Mihi</v>
      </c>
      <c r="AD46" t="str">
        <f t="shared" ca="1" si="39"/>
        <v>Waitaki - Tekapo</v>
      </c>
      <c r="AE46" t="str">
        <f t="shared" ca="1" si="39"/>
        <v>Waitaki - Tekapo</v>
      </c>
      <c r="AF46" t="str">
        <f t="shared" ca="1" si="39"/>
        <v>Glenbrook</v>
      </c>
      <c r="AG46" t="str">
        <f t="shared" ca="1" si="39"/>
        <v>Waitaki - Ohau</v>
      </c>
      <c r="AH46" t="str">
        <f t="shared" ca="1" si="39"/>
        <v>Waitaki - Ohau</v>
      </c>
      <c r="AI46" t="str">
        <f t="shared" ca="1" si="39"/>
        <v>Waitaki - Ohau</v>
      </c>
      <c r="AJ46" t="str">
        <f t="shared" ca="1" si="39"/>
        <v>Waitaki - Ohau</v>
      </c>
      <c r="AX46">
        <v>800</v>
      </c>
      <c r="AY46" s="63">
        <v>32.942334845560652</v>
      </c>
      <c r="AZ46" s="63">
        <v>91.144282987024923</v>
      </c>
      <c r="BA46" s="63">
        <v>177.91338216741443</v>
      </c>
      <c r="BB46" s="63">
        <v>276.08679442000113</v>
      </c>
      <c r="BC46" s="63">
        <v>76.731947369518522</v>
      </c>
      <c r="BD46" s="63">
        <v>47.181258210480394</v>
      </c>
      <c r="BE46" s="2">
        <f t="shared" si="23"/>
        <v>0.1090805789588101</v>
      </c>
      <c r="BF46" s="2">
        <f t="shared" si="37"/>
        <v>0.30180226154644013</v>
      </c>
      <c r="BG46" s="2">
        <f t="shared" si="37"/>
        <v>0.58911715949474974</v>
      </c>
      <c r="BH46" s="2">
        <f t="shared" si="25"/>
        <v>0.6902169860500027</v>
      </c>
      <c r="BI46" s="2">
        <f t="shared" si="38"/>
        <v>0.19182986842379629</v>
      </c>
      <c r="BJ46" s="2">
        <f t="shared" si="38"/>
        <v>0.11795314552620097</v>
      </c>
      <c r="BK46" s="2">
        <f t="shared" si="27"/>
        <v>0.15623164177015667</v>
      </c>
      <c r="BL46" s="52">
        <v>1</v>
      </c>
      <c r="BM46" s="2">
        <f t="shared" si="28"/>
        <v>0.84376835822984331</v>
      </c>
      <c r="BN46" s="2">
        <f t="shared" si="29"/>
        <v>0.85404911550473583</v>
      </c>
      <c r="BO46" s="52">
        <v>1</v>
      </c>
      <c r="BP46" s="2">
        <f t="shared" si="30"/>
        <v>0.14595088449526419</v>
      </c>
    </row>
    <row r="47" spans="1:76" x14ac:dyDescent="0.25">
      <c r="B47" t="str">
        <f t="shared" ref="B47" ca="1" si="40">IF(B46&lt;&gt;A46,B46,"")</f>
        <v>Huntly - e3p</v>
      </c>
      <c r="C47" t="str">
        <f t="shared" ref="C47" ca="1" si="41">IF(C46&lt;&gt;B46,C46,"")</f>
        <v>TCC</v>
      </c>
      <c r="D47" t="str">
        <f t="shared" ref="D47" ca="1" si="42">IF(D46&lt;&gt;C46,D46,"")</f>
        <v>Huntly Rankines</v>
      </c>
      <c r="E47" t="str">
        <f t="shared" ref="E47" ca="1" si="43">IF(E46&lt;&gt;D46,E46,"")</f>
        <v/>
      </c>
      <c r="F47" t="str">
        <f t="shared" ref="F47" ca="1" si="44">IF(F46&lt;&gt;E46,F46,"")</f>
        <v>Nga Awa Purua</v>
      </c>
      <c r="G47" t="str">
        <f t="shared" ref="G47" ca="1" si="45">IF(G46&lt;&gt;F46,G46,"")</f>
        <v>Manapouri</v>
      </c>
      <c r="H47" t="str">
        <f t="shared" ref="H47" ca="1" si="46">IF(H46&lt;&gt;G46,H46,"")</f>
        <v/>
      </c>
      <c r="I47" t="str">
        <f t="shared" ref="I47" ca="1" si="47">IF(I46&lt;&gt;H46,I46,"")</f>
        <v/>
      </c>
      <c r="J47" t="str">
        <f t="shared" ref="J47" ca="1" si="48">IF(J46&lt;&gt;I46,J46,"")</f>
        <v/>
      </c>
      <c r="K47" t="str">
        <f t="shared" ref="K47" ca="1" si="49">IF(K46&lt;&gt;J46,K46,"")</f>
        <v/>
      </c>
      <c r="L47" t="str">
        <f t="shared" ref="L47" ca="1" si="50">IF(L46&lt;&gt;K46,L46,"")</f>
        <v/>
      </c>
      <c r="M47" t="str">
        <f t="shared" ref="M47" ca="1" si="51">IF(M46&lt;&gt;L46,M46,"")</f>
        <v/>
      </c>
      <c r="N47" t="str">
        <f t="shared" ref="N47" ca="1" si="52">IF(N46&lt;&gt;M46,N46,"")</f>
        <v>Clutha -Clyde</v>
      </c>
      <c r="O47" t="str">
        <f t="shared" ref="O47" ca="1" si="53">IF(O46&lt;&gt;N46,O46,"")</f>
        <v/>
      </c>
      <c r="P47" t="str">
        <f t="shared" ref="P47" ca="1" si="54">IF(P46&lt;&gt;O46,P46,"")</f>
        <v/>
      </c>
      <c r="Q47" t="str">
        <f t="shared" ref="Q47" ca="1" si="55">IF(Q46&lt;&gt;P46,Q46,"")</f>
        <v/>
      </c>
      <c r="R47" t="str">
        <f t="shared" ref="R47" ca="1" si="56">IF(R46&lt;&gt;Q46,R46,"")</f>
        <v>HVDC CE risk</v>
      </c>
      <c r="S47" t="str">
        <f t="shared" ref="S47" ca="1" si="57">IF(S46&lt;&gt;R46,S46,"")</f>
        <v>Kawerau</v>
      </c>
      <c r="T47" t="str">
        <f t="shared" ref="T47" ca="1" si="58">IF(T46&lt;&gt;S46,T46,"")</f>
        <v>Stratford pkrs</v>
      </c>
      <c r="U47" t="str">
        <f t="shared" ref="U47" ca="1" si="59">IF(U46&lt;&gt;T46,U46,"")</f>
        <v/>
      </c>
      <c r="V47" t="str">
        <f t="shared" ref="V47" ca="1" si="60">IF(V46&lt;&gt;U46,V46,"")</f>
        <v>Waitaki - Benmore</v>
      </c>
      <c r="W47" t="str">
        <f t="shared" ref="W47" ca="1" si="61">IF(W46&lt;&gt;V46,W46,"")</f>
        <v/>
      </c>
      <c r="X47" t="str">
        <f t="shared" ref="X47" ca="1" si="62">IF(X46&lt;&gt;W46,X46,"")</f>
        <v/>
      </c>
      <c r="Y47" t="str">
        <f t="shared" ref="Y47" ca="1" si="63">IF(Y46&lt;&gt;X46,Y46,"")</f>
        <v/>
      </c>
      <c r="Z47" t="str">
        <f t="shared" ref="Z47" ca="1" si="64">IF(Z46&lt;&gt;Y46,Z46,"")</f>
        <v/>
      </c>
      <c r="AA47" t="str">
        <f t="shared" ref="AA47" ca="1" si="65">IF(AA46&lt;&gt;Z46,AA46,"")</f>
        <v/>
      </c>
      <c r="AB47" t="str">
        <f t="shared" ref="AB47" ca="1" si="66">IF(AB46&lt;&gt;AA46,AB46,"")</f>
        <v>Te Mihi</v>
      </c>
      <c r="AC47" t="str">
        <f t="shared" ref="AC47" ca="1" si="67">IF(AC46&lt;&gt;AB46,AC46,"")</f>
        <v/>
      </c>
      <c r="AD47" t="str">
        <f t="shared" ref="AD47" ca="1" si="68">IF(AD46&lt;&gt;AC46,AD46,"")</f>
        <v>Waitaki - Tekapo</v>
      </c>
      <c r="AE47" t="str">
        <f t="shared" ref="AE47" ca="1" si="69">IF(AE46&lt;&gt;AD46,AE46,"")</f>
        <v/>
      </c>
      <c r="AF47" t="str">
        <f t="shared" ref="AF47" ca="1" si="70">IF(AF46&lt;&gt;AE46,AF46,"")</f>
        <v>Glenbrook</v>
      </c>
      <c r="AG47" t="str">
        <f t="shared" ref="AG47" ca="1" si="71">IF(AG46&lt;&gt;AF46,AG46,"")</f>
        <v>Waitaki - Ohau</v>
      </c>
      <c r="AH47" t="str">
        <f t="shared" ref="AH47" ca="1" si="72">IF(AH46&lt;&gt;AG46,AH46,"")</f>
        <v/>
      </c>
      <c r="AI47" t="str">
        <f t="shared" ref="AI47" ca="1" si="73">IF(AI46&lt;&gt;AH46,AI46,"")</f>
        <v/>
      </c>
      <c r="AJ47" t="str">
        <f t="shared" ref="AJ47" ca="1" si="74">IF(AJ46&lt;&gt;AI46,AJ46,"")</f>
        <v/>
      </c>
      <c r="AX47">
        <v>900</v>
      </c>
      <c r="AY47" s="63">
        <v>32.942334845560652</v>
      </c>
      <c r="AZ47" s="63">
        <v>91.144282987024923</v>
      </c>
      <c r="BA47" s="63">
        <v>277.9133821674144</v>
      </c>
      <c r="BB47" s="63">
        <v>240.92012775333464</v>
      </c>
      <c r="BC47" s="63">
        <v>76.731947369518522</v>
      </c>
      <c r="BD47" s="63">
        <v>84.347924877147022</v>
      </c>
      <c r="BE47" s="2">
        <f t="shared" si="23"/>
        <v>8.1946106580996644E-2</v>
      </c>
      <c r="BF47" s="2">
        <f t="shared" si="37"/>
        <v>0.22672707210702717</v>
      </c>
      <c r="BG47" s="2">
        <f t="shared" si="37"/>
        <v>0.69132682131197609</v>
      </c>
      <c r="BH47" s="2">
        <f t="shared" si="25"/>
        <v>0.59930380038142916</v>
      </c>
      <c r="BI47" s="2">
        <f t="shared" si="38"/>
        <v>0.19087549096895146</v>
      </c>
      <c r="BJ47" s="2">
        <f t="shared" si="38"/>
        <v>0.20982070864961938</v>
      </c>
      <c r="BK47" s="2">
        <f t="shared" si="27"/>
        <v>0.10597307060042149</v>
      </c>
      <c r="BL47" s="52">
        <v>1</v>
      </c>
      <c r="BM47" s="2">
        <f t="shared" si="28"/>
        <v>0.89402692939957851</v>
      </c>
      <c r="BN47" s="2">
        <f t="shared" si="29"/>
        <v>0.7406818032234791</v>
      </c>
      <c r="BO47" s="52">
        <v>1</v>
      </c>
      <c r="BP47" s="2">
        <f t="shared" si="30"/>
        <v>0.25931819677652101</v>
      </c>
    </row>
    <row r="48" spans="1:76" x14ac:dyDescent="0.25">
      <c r="AX48">
        <v>1000</v>
      </c>
      <c r="AY48" s="63">
        <v>32.942334845560652</v>
      </c>
      <c r="AZ48" s="63">
        <v>91.144282987024923</v>
      </c>
      <c r="BA48" s="63">
        <v>377.9133821674144</v>
      </c>
      <c r="BB48" s="63">
        <v>240.92012775333464</v>
      </c>
      <c r="BC48" s="63">
        <v>76.731947369518522</v>
      </c>
      <c r="BD48" s="63">
        <v>184.34792487714697</v>
      </c>
      <c r="BE48" s="2">
        <f t="shared" si="23"/>
        <v>6.5622180967252294E-2</v>
      </c>
      <c r="BF48" s="2">
        <f t="shared" si="37"/>
        <v>0.18156231670722095</v>
      </c>
      <c r="BG48" s="2">
        <f t="shared" si="37"/>
        <v>0.75281550232552674</v>
      </c>
      <c r="BH48" s="2">
        <f t="shared" si="25"/>
        <v>0.47992057321381393</v>
      </c>
      <c r="BI48" s="2">
        <f t="shared" si="38"/>
        <v>0.15285248479983765</v>
      </c>
      <c r="BJ48" s="2">
        <f t="shared" si="38"/>
        <v>0.36722694198634848</v>
      </c>
      <c r="BK48" s="2">
        <f t="shared" si="27"/>
        <v>8.0179813694840993E-2</v>
      </c>
      <c r="BL48" s="52">
        <v>1</v>
      </c>
      <c r="BM48" s="2">
        <f t="shared" si="28"/>
        <v>0.91982018630515905</v>
      </c>
      <c r="BN48" s="2">
        <f t="shared" si="29"/>
        <v>0.56651358187649192</v>
      </c>
      <c r="BO48" s="52">
        <v>1</v>
      </c>
      <c r="BP48" s="2">
        <f t="shared" si="30"/>
        <v>0.43348641812350802</v>
      </c>
    </row>
    <row r="49" spans="1:68" x14ac:dyDescent="0.25">
      <c r="A49" t="s">
        <v>192</v>
      </c>
      <c r="B49">
        <f ca="1">OFFSET($A$40,0,B$45)</f>
        <v>400.00000002000002</v>
      </c>
      <c r="C49">
        <f t="shared" ref="C49:AJ49" ca="1" si="75">OFFSET($A$40,0,C$45)</f>
        <v>385.00000003000002</v>
      </c>
      <c r="D49">
        <f t="shared" ca="1" si="75"/>
        <v>250.00000005000001</v>
      </c>
      <c r="E49">
        <f t="shared" ca="1" si="75"/>
        <v>250.00000004</v>
      </c>
      <c r="F49">
        <f t="shared" ca="1" si="75"/>
        <v>138.00000008999999</v>
      </c>
      <c r="G49">
        <f t="shared" ca="1" si="75"/>
        <v>122.00000018999999</v>
      </c>
      <c r="H49">
        <f t="shared" ca="1" si="75"/>
        <v>122.00000018</v>
      </c>
      <c r="I49">
        <f t="shared" ca="1" si="75"/>
        <v>122.00000017000001</v>
      </c>
      <c r="J49">
        <f t="shared" ca="1" si="75"/>
        <v>122.00000016</v>
      </c>
      <c r="K49">
        <f t="shared" ca="1" si="75"/>
        <v>122.00000015000001</v>
      </c>
      <c r="L49">
        <f t="shared" ca="1" si="75"/>
        <v>122.00000014</v>
      </c>
      <c r="M49">
        <f t="shared" ca="1" si="75"/>
        <v>122.00000013</v>
      </c>
      <c r="N49">
        <f t="shared" ca="1" si="75"/>
        <v>108.00000023</v>
      </c>
      <c r="O49">
        <f t="shared" ca="1" si="75"/>
        <v>108.00000022</v>
      </c>
      <c r="P49">
        <f t="shared" ca="1" si="75"/>
        <v>108.00000021</v>
      </c>
      <c r="Q49">
        <f t="shared" ca="1" si="75"/>
        <v>108.0000002</v>
      </c>
      <c r="R49">
        <f t="shared" ca="1" si="75"/>
        <v>102.00000036</v>
      </c>
      <c r="S49">
        <f t="shared" ca="1" si="75"/>
        <v>100.00000009999999</v>
      </c>
      <c r="T49">
        <f t="shared" ca="1" si="75"/>
        <v>100.00000007</v>
      </c>
      <c r="U49">
        <f t="shared" ca="1" si="75"/>
        <v>100.00000006</v>
      </c>
      <c r="V49">
        <f t="shared" ca="1" si="75"/>
        <v>90.000000290000003</v>
      </c>
      <c r="W49">
        <f t="shared" ca="1" si="75"/>
        <v>90.000000279999995</v>
      </c>
      <c r="X49">
        <f t="shared" ca="1" si="75"/>
        <v>90.000000270000001</v>
      </c>
      <c r="Y49">
        <f t="shared" ca="1" si="75"/>
        <v>90.000000259999993</v>
      </c>
      <c r="Z49">
        <f t="shared" ca="1" si="75"/>
        <v>90.000000249999999</v>
      </c>
      <c r="AA49">
        <f t="shared" ca="1" si="75"/>
        <v>90.000000240000006</v>
      </c>
      <c r="AB49">
        <f t="shared" ca="1" si="75"/>
        <v>83.000000119999996</v>
      </c>
      <c r="AC49">
        <f t="shared" ca="1" si="75"/>
        <v>83.000000110000002</v>
      </c>
      <c r="AD49">
        <f t="shared" ca="1" si="75"/>
        <v>77.000000310000004</v>
      </c>
      <c r="AE49">
        <f t="shared" ca="1" si="75"/>
        <v>77.000000299999996</v>
      </c>
      <c r="AF49">
        <f t="shared" ca="1" si="75"/>
        <v>68.000000080000007</v>
      </c>
      <c r="AG49">
        <f t="shared" ca="1" si="75"/>
        <v>66.000000349999993</v>
      </c>
      <c r="AH49">
        <f t="shared" ca="1" si="75"/>
        <v>66.00000034</v>
      </c>
      <c r="AI49">
        <f t="shared" ca="1" si="75"/>
        <v>66.000000330000006</v>
      </c>
      <c r="AJ49">
        <f t="shared" ca="1" si="75"/>
        <v>66.000000319999998</v>
      </c>
      <c r="AK49" s="1">
        <v>0</v>
      </c>
      <c r="AX49" t="s">
        <v>94</v>
      </c>
      <c r="AY49" t="s">
        <v>94</v>
      </c>
      <c r="AZ49" t="s">
        <v>94</v>
      </c>
      <c r="BA49" t="s">
        <v>94</v>
      </c>
      <c r="BB49" t="s">
        <v>94</v>
      </c>
      <c r="BC49" t="s">
        <v>94</v>
      </c>
      <c r="BD49" t="s">
        <v>94</v>
      </c>
      <c r="BE49" t="s">
        <v>94</v>
      </c>
      <c r="BF49" t="s">
        <v>94</v>
      </c>
      <c r="BG49" t="s">
        <v>94</v>
      </c>
      <c r="BH49" t="s">
        <v>94</v>
      </c>
      <c r="BI49" t="s">
        <v>94</v>
      </c>
      <c r="BJ49" t="s">
        <v>94</v>
      </c>
      <c r="BK49" t="s">
        <v>94</v>
      </c>
      <c r="BL49" t="s">
        <v>94</v>
      </c>
      <c r="BM49" t="s">
        <v>94</v>
      </c>
      <c r="BN49" t="s">
        <v>94</v>
      </c>
      <c r="BO49" t="s">
        <v>94</v>
      </c>
      <c r="BP49" t="s">
        <v>94</v>
      </c>
    </row>
    <row r="50" spans="1:68" x14ac:dyDescent="0.25">
      <c r="A50" t="s">
        <v>194</v>
      </c>
      <c r="B50">
        <f ca="1">ROUND(B49-C49,1)</f>
        <v>15</v>
      </c>
      <c r="C50">
        <f t="shared" ref="C50:AJ50" ca="1" si="76">ROUND(C49-D49,1)</f>
        <v>135</v>
      </c>
      <c r="D50">
        <f t="shared" ca="1" si="76"/>
        <v>0</v>
      </c>
      <c r="E50">
        <f t="shared" ca="1" si="76"/>
        <v>112</v>
      </c>
      <c r="F50">
        <f t="shared" ca="1" si="76"/>
        <v>16</v>
      </c>
      <c r="G50">
        <f t="shared" ca="1" si="76"/>
        <v>0</v>
      </c>
      <c r="H50">
        <f t="shared" ca="1" si="76"/>
        <v>0</v>
      </c>
      <c r="I50">
        <f t="shared" ca="1" si="76"/>
        <v>0</v>
      </c>
      <c r="J50">
        <f t="shared" ca="1" si="76"/>
        <v>0</v>
      </c>
      <c r="K50">
        <f t="shared" ca="1" si="76"/>
        <v>0</v>
      </c>
      <c r="L50">
        <f t="shared" ca="1" si="76"/>
        <v>0</v>
      </c>
      <c r="M50">
        <f t="shared" ca="1" si="76"/>
        <v>14</v>
      </c>
      <c r="N50">
        <f t="shared" ca="1" si="76"/>
        <v>0</v>
      </c>
      <c r="O50">
        <f t="shared" ca="1" si="76"/>
        <v>0</v>
      </c>
      <c r="P50">
        <f t="shared" ca="1" si="76"/>
        <v>0</v>
      </c>
      <c r="Q50">
        <f t="shared" ca="1" si="76"/>
        <v>6</v>
      </c>
      <c r="R50">
        <f t="shared" ca="1" si="76"/>
        <v>2</v>
      </c>
      <c r="S50">
        <f t="shared" ca="1" si="76"/>
        <v>0</v>
      </c>
      <c r="T50">
        <f t="shared" ca="1" si="76"/>
        <v>0</v>
      </c>
      <c r="U50">
        <f t="shared" ca="1" si="76"/>
        <v>10</v>
      </c>
      <c r="V50">
        <f t="shared" ca="1" si="76"/>
        <v>0</v>
      </c>
      <c r="W50">
        <f t="shared" ca="1" si="76"/>
        <v>0</v>
      </c>
      <c r="X50">
        <f t="shared" ca="1" si="76"/>
        <v>0</v>
      </c>
      <c r="Y50">
        <f t="shared" ca="1" si="76"/>
        <v>0</v>
      </c>
      <c r="Z50">
        <f t="shared" ca="1" si="76"/>
        <v>0</v>
      </c>
      <c r="AA50">
        <f t="shared" ca="1" si="76"/>
        <v>7</v>
      </c>
      <c r="AB50">
        <f t="shared" ca="1" si="76"/>
        <v>0</v>
      </c>
      <c r="AC50">
        <f t="shared" ca="1" si="76"/>
        <v>6</v>
      </c>
      <c r="AD50">
        <f t="shared" ca="1" si="76"/>
        <v>0</v>
      </c>
      <c r="AE50">
        <f t="shared" ca="1" si="76"/>
        <v>9</v>
      </c>
      <c r="AF50">
        <f t="shared" ca="1" si="76"/>
        <v>2</v>
      </c>
      <c r="AG50">
        <f t="shared" ca="1" si="76"/>
        <v>0</v>
      </c>
      <c r="AH50">
        <f t="shared" ca="1" si="76"/>
        <v>0</v>
      </c>
      <c r="AI50">
        <f t="shared" ca="1" si="76"/>
        <v>0</v>
      </c>
      <c r="AJ50">
        <f t="shared" ca="1" si="76"/>
        <v>66</v>
      </c>
    </row>
    <row r="51" spans="1:68" x14ac:dyDescent="0.25">
      <c r="A51" t="s">
        <v>195</v>
      </c>
      <c r="B51" s="22">
        <f t="array" aca="1" ref="B51" ca="1">SUM(B50:$AJ50/B33:$AJ33)</f>
        <v>118.59306062375323</v>
      </c>
      <c r="C51" s="22">
        <f t="array" aca="1" ref="C51" ca="1">SUM(C50:$AJ50/C33:$AJ33)</f>
        <v>103.59306062375323</v>
      </c>
      <c r="D51" s="22">
        <f t="array" aca="1" ref="D51" ca="1">SUM(D50:$AJ50/D33:$AJ33)</f>
        <v>36.093060623753217</v>
      </c>
      <c r="E51" s="22">
        <f t="array" aca="1" ref="E51" ca="1">SUM(E50:$AJ50/E33:$AJ33)</f>
        <v>36.093060623753217</v>
      </c>
      <c r="F51" s="22">
        <f t="array" aca="1" ref="F51" ca="1">SUM(F50:$AJ50/F33:$AJ33)</f>
        <v>8.0930606237532228</v>
      </c>
      <c r="G51" s="22">
        <f t="array" aca="1" ref="G51" ca="1">SUM(G50:$AJ50/G33:$AJ33)</f>
        <v>4.8930606237532235</v>
      </c>
      <c r="H51" s="22">
        <f t="array" aca="1" ref="H51" ca="1">SUM(H50:$AJ50/H33:$AJ33)</f>
        <v>4.8930606237532235</v>
      </c>
      <c r="I51" s="22">
        <f t="array" aca="1" ref="I51" ca="1">SUM(I50:$AJ50/I33:$AJ33)</f>
        <v>4.8930606237532235</v>
      </c>
      <c r="J51" s="22">
        <f t="array" aca="1" ref="J51" ca="1">SUM(J50:$AJ50/J33:$AJ33)</f>
        <v>4.8930606237532235</v>
      </c>
      <c r="K51" s="22">
        <f t="array" aca="1" ref="K51" ca="1">SUM(K50:$AJ50/K33:$AJ33)</f>
        <v>4.8930606237532235</v>
      </c>
      <c r="L51" s="22">
        <f t="array" aca="1" ref="L51" ca="1">SUM(L50:$AJ50/L33:$AJ33)</f>
        <v>4.8930606237532235</v>
      </c>
      <c r="M51" s="22">
        <f t="array" aca="1" ref="M51" ca="1">SUM(M50:$AJ50/M33:$AJ33)</f>
        <v>4.8930606237532235</v>
      </c>
      <c r="N51" s="22">
        <f t="array" aca="1" ref="N51" ca="1">SUM(N50:$AJ50/N33:$AJ33)</f>
        <v>3.7263939570865565</v>
      </c>
      <c r="O51" s="22">
        <f t="array" aca="1" ref="O51" ca="1">SUM(O50:$AJ50/O33:$AJ33)</f>
        <v>3.7263939570865565</v>
      </c>
      <c r="P51" s="22">
        <f t="array" aca="1" ref="P51" ca="1">SUM(P50:$AJ50/P33:$AJ33)</f>
        <v>3.7263939570865565</v>
      </c>
      <c r="Q51" s="22">
        <f t="array" aca="1" ref="Q51" ca="1">SUM(Q50:$AJ50/Q33:$AJ33)</f>
        <v>3.7263939570865565</v>
      </c>
      <c r="R51" s="22">
        <f t="array" aca="1" ref="R51" ca="1">SUM(R50:$AJ50/R33:$AJ33)</f>
        <v>3.3513939570865565</v>
      </c>
      <c r="S51" s="22">
        <f t="array" aca="1" ref="S51" ca="1">SUM(S50:$AJ50/S33:$AJ33)</f>
        <v>3.2337468982630271</v>
      </c>
      <c r="T51" s="22">
        <f t="array" aca="1" ref="T51" ca="1">SUM(T50:$AJ50/T33:$AJ33)</f>
        <v>3.2337468982630271</v>
      </c>
      <c r="U51" s="22">
        <f t="array" aca="1" ref="U51" ca="1">SUM(U50:$AJ50/U33:$AJ33)</f>
        <v>3.2337468982630271</v>
      </c>
      <c r="V51" s="22">
        <f t="array" aca="1" ref="V51" ca="1">SUM(V50:$AJ50/V33:$AJ33)</f>
        <v>2.7337468982630271</v>
      </c>
      <c r="W51" s="22">
        <f t="array" aca="1" ref="W51" ca="1">SUM(W50:$AJ50/W33:$AJ33)</f>
        <v>2.7337468982630271</v>
      </c>
      <c r="X51" s="22">
        <f t="array" aca="1" ref="X51" ca="1">SUM(X50:$AJ50/X33:$AJ33)</f>
        <v>2.7337468982630271</v>
      </c>
      <c r="Y51" s="22">
        <f t="array" aca="1" ref="Y51" ca="1">SUM(Y50:$AJ50/Y33:$AJ33)</f>
        <v>2.7337468982630271</v>
      </c>
      <c r="Z51" s="22">
        <f t="array" aca="1" ref="Z51" ca="1">SUM(Z50:$AJ50/Z33:$AJ33)</f>
        <v>2.7337468982630271</v>
      </c>
      <c r="AA51" s="22">
        <f t="array" aca="1" ref="AA51" ca="1">SUM(AA50:$AJ50/AA33:$AJ33)</f>
        <v>2.7337468982630271</v>
      </c>
      <c r="AB51" s="22">
        <f t="array" aca="1" ref="AB51" ca="1">SUM(AB50:$AJ50/AB33:$AJ33)</f>
        <v>2.4645161290322579</v>
      </c>
      <c r="AC51" s="22">
        <f t="array" aca="1" ref="AC51" ca="1">SUM(AC50:$AJ50/AC33:$AJ33)</f>
        <v>2.4645161290322579</v>
      </c>
      <c r="AD51" s="22">
        <f t="array" aca="1" ref="AD51" ca="1">SUM(AD50:$AJ50/AD33:$AJ33)</f>
        <v>2.2502304147465439</v>
      </c>
      <c r="AE51" s="22">
        <f t="array" aca="1" ref="AE51" ca="1">SUM(AE50:$AJ50/AE33:$AJ33)</f>
        <v>2.2502304147465439</v>
      </c>
      <c r="AF51" s="22">
        <f t="array" aca="1" ref="AF51" ca="1">SUM(AF50:$AJ50/AF33:$AJ33)</f>
        <v>1.9502304147465437</v>
      </c>
      <c r="AG51" s="22">
        <f t="array" aca="1" ref="AG51" ca="1">SUM(AG50:$AJ50/AG33:$AJ33)</f>
        <v>1.8857142857142857</v>
      </c>
      <c r="AH51" s="22">
        <f t="array" aca="1" ref="AH51" ca="1">SUM(AH50:$AJ50/AH33:$AJ33)</f>
        <v>1.8857142857142857</v>
      </c>
      <c r="AI51" s="22">
        <f t="array" aca="1" ref="AI51" ca="1">SUM(AI50:$AJ50/AI33:$AJ33)</f>
        <v>1.8857142857142857</v>
      </c>
      <c r="AJ51" s="22">
        <f t="array" aca="1" ref="AJ51" ca="1">SUM(AJ50:$AJ50/AJ33:$AJ33)</f>
        <v>1.8857142857142857</v>
      </c>
    </row>
    <row r="52" spans="1:68" x14ac:dyDescent="0.25">
      <c r="A52" t="s">
        <v>110</v>
      </c>
      <c r="B52" t="str">
        <f ca="1">OFFSET($A$37,0,B$45)</f>
        <v>Genesis</v>
      </c>
      <c r="C52" t="str">
        <f t="shared" ref="C52:AJ52" ca="1" si="77">OFFSET($A$37,0,C$45)</f>
        <v>Contact</v>
      </c>
      <c r="D52" t="str">
        <f t="shared" ca="1" si="77"/>
        <v>Genesis</v>
      </c>
      <c r="E52" t="str">
        <f t="shared" ca="1" si="77"/>
        <v>Genesis</v>
      </c>
      <c r="F52" t="str">
        <f t="shared" ca="1" si="77"/>
        <v>Mercury</v>
      </c>
      <c r="G52" t="str">
        <f t="shared" ca="1" si="77"/>
        <v>Meridian</v>
      </c>
      <c r="H52" t="str">
        <f t="shared" ca="1" si="77"/>
        <v>Meridian</v>
      </c>
      <c r="I52" t="str">
        <f t="shared" ca="1" si="77"/>
        <v>Meridian</v>
      </c>
      <c r="J52" t="str">
        <f t="shared" ca="1" si="77"/>
        <v>Meridian</v>
      </c>
      <c r="K52" t="str">
        <f t="shared" ca="1" si="77"/>
        <v>Meridian</v>
      </c>
      <c r="L52" t="str">
        <f t="shared" ca="1" si="77"/>
        <v>Meridian</v>
      </c>
      <c r="M52" t="str">
        <f t="shared" ca="1" si="77"/>
        <v>Meridian</v>
      </c>
      <c r="N52" t="str">
        <f t="shared" ca="1" si="77"/>
        <v>Contact</v>
      </c>
      <c r="O52" t="str">
        <f t="shared" ca="1" si="77"/>
        <v>Contact</v>
      </c>
      <c r="P52" t="str">
        <f t="shared" ca="1" si="77"/>
        <v>Contact</v>
      </c>
      <c r="Q52" t="str">
        <f t="shared" ca="1" si="77"/>
        <v>Contact</v>
      </c>
      <c r="R52" t="str">
        <f t="shared" ca="1" si="77"/>
        <v>Transpower</v>
      </c>
      <c r="S52" t="str">
        <f t="shared" ca="1" si="77"/>
        <v>Mercury</v>
      </c>
      <c r="T52" t="str">
        <f t="shared" ca="1" si="77"/>
        <v>Contact</v>
      </c>
      <c r="U52" t="str">
        <f t="shared" ca="1" si="77"/>
        <v>Contact</v>
      </c>
      <c r="V52" t="str">
        <f t="shared" ca="1" si="77"/>
        <v>Meridian</v>
      </c>
      <c r="W52" t="str">
        <f t="shared" ca="1" si="77"/>
        <v>Meridian</v>
      </c>
      <c r="X52" t="str">
        <f t="shared" ca="1" si="77"/>
        <v>Meridian</v>
      </c>
      <c r="Y52" t="str">
        <f t="shared" ca="1" si="77"/>
        <v>Meridian</v>
      </c>
      <c r="Z52" t="str">
        <f t="shared" ca="1" si="77"/>
        <v>Meridian</v>
      </c>
      <c r="AA52" t="str">
        <f t="shared" ca="1" si="77"/>
        <v>Meridian</v>
      </c>
      <c r="AB52" t="str">
        <f t="shared" ca="1" si="77"/>
        <v>Contact</v>
      </c>
      <c r="AC52" t="str">
        <f t="shared" ca="1" si="77"/>
        <v>Contact</v>
      </c>
      <c r="AD52" t="str">
        <f t="shared" ca="1" si="77"/>
        <v>Genesis</v>
      </c>
      <c r="AE52" t="str">
        <f t="shared" ca="1" si="77"/>
        <v>Genesis</v>
      </c>
      <c r="AF52" t="str">
        <f t="shared" ca="1" si="77"/>
        <v>Alinta</v>
      </c>
      <c r="AG52" t="str">
        <f t="shared" ca="1" si="77"/>
        <v>Meridian</v>
      </c>
      <c r="AH52" t="str">
        <f t="shared" ca="1" si="77"/>
        <v>Meridian</v>
      </c>
      <c r="AI52" t="str">
        <f t="shared" ca="1" si="77"/>
        <v>Meridian</v>
      </c>
      <c r="AJ52" t="str">
        <f t="shared" ca="1" si="77"/>
        <v>Meridian</v>
      </c>
    </row>
    <row r="54" spans="1:68" x14ac:dyDescent="0.25">
      <c r="B54" t="str">
        <f ca="1">B47</f>
        <v>Huntly - e3p</v>
      </c>
      <c r="C54" t="str">
        <f t="shared" ref="C54:AJ54" ca="1" si="78">C47</f>
        <v>TCC</v>
      </c>
      <c r="D54" t="str">
        <f t="shared" ca="1" si="78"/>
        <v>Huntly Rankines</v>
      </c>
      <c r="E54" t="str">
        <f t="shared" ca="1" si="78"/>
        <v/>
      </c>
      <c r="F54" t="str">
        <f t="shared" ca="1" si="78"/>
        <v>Nga Awa Purua</v>
      </c>
      <c r="G54" t="str">
        <f t="shared" ca="1" si="78"/>
        <v>Manapouri</v>
      </c>
      <c r="H54" t="str">
        <f t="shared" ca="1" si="78"/>
        <v/>
      </c>
      <c r="I54" t="str">
        <f t="shared" ca="1" si="78"/>
        <v/>
      </c>
      <c r="J54" t="str">
        <f t="shared" ca="1" si="78"/>
        <v/>
      </c>
      <c r="K54" t="str">
        <f t="shared" ca="1" si="78"/>
        <v/>
      </c>
      <c r="L54" t="str">
        <f t="shared" ca="1" si="78"/>
        <v/>
      </c>
      <c r="M54" t="str">
        <f t="shared" ca="1" si="78"/>
        <v/>
      </c>
      <c r="N54" t="str">
        <f t="shared" ca="1" si="78"/>
        <v>Clutha -Clyde</v>
      </c>
      <c r="O54" t="str">
        <f t="shared" ca="1" si="78"/>
        <v/>
      </c>
      <c r="P54" t="str">
        <f t="shared" ca="1" si="78"/>
        <v/>
      </c>
      <c r="Q54" t="str">
        <f t="shared" ca="1" si="78"/>
        <v/>
      </c>
      <c r="R54" t="str">
        <f t="shared" ca="1" si="78"/>
        <v>HVDC CE risk</v>
      </c>
      <c r="S54" t="str">
        <f t="shared" ca="1" si="78"/>
        <v>Kawerau</v>
      </c>
      <c r="T54" t="str">
        <f t="shared" ca="1" si="78"/>
        <v>Stratford pkrs</v>
      </c>
      <c r="U54" t="str">
        <f t="shared" ca="1" si="78"/>
        <v/>
      </c>
      <c r="V54" t="str">
        <f t="shared" ca="1" si="78"/>
        <v>Waitaki - Benmore</v>
      </c>
      <c r="W54" t="str">
        <f t="shared" ca="1" si="78"/>
        <v/>
      </c>
      <c r="X54" t="str">
        <f t="shared" ca="1" si="78"/>
        <v/>
      </c>
      <c r="Y54" t="str">
        <f t="shared" ca="1" si="78"/>
        <v/>
      </c>
      <c r="Z54" t="str">
        <f t="shared" ca="1" si="78"/>
        <v/>
      </c>
      <c r="AA54" t="str">
        <f t="shared" ca="1" si="78"/>
        <v/>
      </c>
      <c r="AB54" t="str">
        <f t="shared" ca="1" si="78"/>
        <v>Te Mihi</v>
      </c>
      <c r="AC54" t="str">
        <f t="shared" ca="1" si="78"/>
        <v/>
      </c>
      <c r="AD54" t="str">
        <f t="shared" ca="1" si="78"/>
        <v>Waitaki - Tekapo</v>
      </c>
      <c r="AE54" t="str">
        <f t="shared" ca="1" si="78"/>
        <v/>
      </c>
      <c r="AF54" t="str">
        <f t="shared" ca="1" si="78"/>
        <v>Glenbrook</v>
      </c>
      <c r="AG54" t="str">
        <f t="shared" ca="1" si="78"/>
        <v>Waitaki - Ohau</v>
      </c>
      <c r="AH54" t="str">
        <f t="shared" ca="1" si="78"/>
        <v/>
      </c>
      <c r="AI54" t="str">
        <f t="shared" ca="1" si="78"/>
        <v/>
      </c>
      <c r="AJ54" t="str">
        <f t="shared" ca="1" si="78"/>
        <v/>
      </c>
    </row>
    <row r="55" spans="1:68" x14ac:dyDescent="0.25">
      <c r="A55" t="s">
        <v>97</v>
      </c>
      <c r="B55" s="7">
        <f ca="1">IF(B$52=$A55,B$51,"")</f>
        <v>118.59306062375323</v>
      </c>
      <c r="C55" s="7" t="str">
        <f t="shared" ref="C55:AJ60" ca="1" si="79">IF(C$52=$A55,C$51,"")</f>
        <v/>
      </c>
      <c r="D55" s="7">
        <f t="shared" ca="1" si="79"/>
        <v>36.093060623753217</v>
      </c>
      <c r="E55" s="7">
        <f t="shared" ca="1" si="79"/>
        <v>36.093060623753217</v>
      </c>
      <c r="F55" s="7" t="str">
        <f t="shared" ca="1" si="79"/>
        <v/>
      </c>
      <c r="G55" s="7" t="str">
        <f t="shared" ca="1" si="79"/>
        <v/>
      </c>
      <c r="H55" s="7" t="str">
        <f t="shared" ca="1" si="79"/>
        <v/>
      </c>
      <c r="I55" s="7" t="str">
        <f t="shared" ca="1" si="79"/>
        <v/>
      </c>
      <c r="J55" s="7" t="str">
        <f t="shared" ca="1" si="79"/>
        <v/>
      </c>
      <c r="K55" s="7" t="str">
        <f t="shared" ca="1" si="79"/>
        <v/>
      </c>
      <c r="L55" s="7" t="str">
        <f t="shared" ca="1" si="79"/>
        <v/>
      </c>
      <c r="M55" s="7" t="str">
        <f t="shared" ca="1" si="79"/>
        <v/>
      </c>
      <c r="N55" s="7" t="str">
        <f t="shared" ca="1" si="79"/>
        <v/>
      </c>
      <c r="O55" s="7" t="str">
        <f t="shared" ca="1" si="79"/>
        <v/>
      </c>
      <c r="P55" s="7" t="str">
        <f t="shared" ca="1" si="79"/>
        <v/>
      </c>
      <c r="Q55" s="7" t="str">
        <f t="shared" ca="1" si="79"/>
        <v/>
      </c>
      <c r="R55" s="7" t="str">
        <f t="shared" ca="1" si="79"/>
        <v/>
      </c>
      <c r="S55" s="7" t="str">
        <f t="shared" ca="1" si="79"/>
        <v/>
      </c>
      <c r="T55" s="7" t="str">
        <f t="shared" ca="1" si="79"/>
        <v/>
      </c>
      <c r="U55" s="7" t="str">
        <f t="shared" ca="1" si="79"/>
        <v/>
      </c>
      <c r="V55" s="7" t="str">
        <f t="shared" ca="1" si="79"/>
        <v/>
      </c>
      <c r="W55" s="7" t="str">
        <f t="shared" ca="1" si="79"/>
        <v/>
      </c>
      <c r="X55" s="7" t="str">
        <f t="shared" ca="1" si="79"/>
        <v/>
      </c>
      <c r="Y55" s="7" t="str">
        <f t="shared" ca="1" si="79"/>
        <v/>
      </c>
      <c r="Z55" s="7" t="str">
        <f t="shared" ca="1" si="79"/>
        <v/>
      </c>
      <c r="AA55" s="7" t="str">
        <f t="shared" ca="1" si="79"/>
        <v/>
      </c>
      <c r="AB55" s="7" t="str">
        <f t="shared" ca="1" si="79"/>
        <v/>
      </c>
      <c r="AC55" s="7" t="str">
        <f t="shared" ca="1" si="79"/>
        <v/>
      </c>
      <c r="AD55" s="7">
        <f t="shared" ca="1" si="79"/>
        <v>2.2502304147465439</v>
      </c>
      <c r="AE55" s="7">
        <f t="shared" ca="1" si="79"/>
        <v>2.2502304147465439</v>
      </c>
      <c r="AF55" s="7" t="str">
        <f t="shared" ca="1" si="79"/>
        <v/>
      </c>
      <c r="AG55" s="7" t="str">
        <f t="shared" ca="1" si="79"/>
        <v/>
      </c>
      <c r="AH55" s="7" t="str">
        <f t="shared" ca="1" si="79"/>
        <v/>
      </c>
      <c r="AI55" s="7" t="str">
        <f t="shared" ca="1" si="79"/>
        <v/>
      </c>
      <c r="AJ55" s="7" t="str">
        <f t="shared" ca="1" si="79"/>
        <v/>
      </c>
    </row>
    <row r="56" spans="1:68" x14ac:dyDescent="0.25">
      <c r="A56" t="s">
        <v>99</v>
      </c>
      <c r="B56" s="7" t="str">
        <f t="shared" ref="B56:Q60" ca="1" si="80">IF(B$52=$A56,B$51,"")</f>
        <v/>
      </c>
      <c r="C56" s="7">
        <f t="shared" ca="1" si="80"/>
        <v>103.59306062375323</v>
      </c>
      <c r="D56" s="7" t="str">
        <f t="shared" ca="1" si="80"/>
        <v/>
      </c>
      <c r="E56" s="7" t="str">
        <f t="shared" ca="1" si="80"/>
        <v/>
      </c>
      <c r="F56" s="7" t="str">
        <f t="shared" ca="1" si="80"/>
        <v/>
      </c>
      <c r="G56" s="7" t="str">
        <f t="shared" ca="1" si="80"/>
        <v/>
      </c>
      <c r="H56" s="7" t="str">
        <f t="shared" ca="1" si="80"/>
        <v/>
      </c>
      <c r="I56" s="7" t="str">
        <f t="shared" ca="1" si="80"/>
        <v/>
      </c>
      <c r="J56" s="7" t="str">
        <f t="shared" ca="1" si="80"/>
        <v/>
      </c>
      <c r="K56" s="7" t="str">
        <f t="shared" ca="1" si="80"/>
        <v/>
      </c>
      <c r="L56" s="7" t="str">
        <f t="shared" ca="1" si="80"/>
        <v/>
      </c>
      <c r="M56" s="7" t="str">
        <f t="shared" ca="1" si="80"/>
        <v/>
      </c>
      <c r="N56" s="7">
        <f t="shared" ca="1" si="80"/>
        <v>3.7263939570865565</v>
      </c>
      <c r="O56" s="7">
        <f t="shared" ca="1" si="80"/>
        <v>3.7263939570865565</v>
      </c>
      <c r="P56" s="7">
        <f t="shared" ca="1" si="80"/>
        <v>3.7263939570865565</v>
      </c>
      <c r="Q56" s="7">
        <f t="shared" ca="1" si="80"/>
        <v>3.7263939570865565</v>
      </c>
      <c r="R56" s="7" t="str">
        <f t="shared" ca="1" si="79"/>
        <v/>
      </c>
      <c r="S56" s="7" t="str">
        <f t="shared" ca="1" si="79"/>
        <v/>
      </c>
      <c r="T56" s="7">
        <f t="shared" ca="1" si="79"/>
        <v>3.2337468982630271</v>
      </c>
      <c r="U56" s="7">
        <f t="shared" ca="1" si="79"/>
        <v>3.2337468982630271</v>
      </c>
      <c r="V56" s="7" t="str">
        <f t="shared" ca="1" si="79"/>
        <v/>
      </c>
      <c r="W56" s="7" t="str">
        <f t="shared" ca="1" si="79"/>
        <v/>
      </c>
      <c r="X56" s="7" t="str">
        <f t="shared" ca="1" si="79"/>
        <v/>
      </c>
      <c r="Y56" s="7" t="str">
        <f t="shared" ca="1" si="79"/>
        <v/>
      </c>
      <c r="Z56" s="7" t="str">
        <f t="shared" ca="1" si="79"/>
        <v/>
      </c>
      <c r="AA56" s="7" t="str">
        <f t="shared" ca="1" si="79"/>
        <v/>
      </c>
      <c r="AB56" s="7">
        <f t="shared" ca="1" si="79"/>
        <v>2.4645161290322579</v>
      </c>
      <c r="AC56" s="7">
        <f t="shared" ca="1" si="79"/>
        <v>2.4645161290322579</v>
      </c>
      <c r="AD56" s="7" t="str">
        <f t="shared" ca="1" si="79"/>
        <v/>
      </c>
      <c r="AE56" s="7" t="str">
        <f t="shared" ca="1" si="79"/>
        <v/>
      </c>
      <c r="AF56" s="7" t="str">
        <f t="shared" ca="1" si="79"/>
        <v/>
      </c>
      <c r="AG56" s="7" t="str">
        <f t="shared" ca="1" si="79"/>
        <v/>
      </c>
      <c r="AH56" s="7" t="str">
        <f t="shared" ca="1" si="79"/>
        <v/>
      </c>
      <c r="AI56" s="7" t="str">
        <f t="shared" ca="1" si="79"/>
        <v/>
      </c>
      <c r="AJ56" s="7" t="str">
        <f t="shared" ca="1" si="79"/>
        <v/>
      </c>
    </row>
    <row r="57" spans="1:68" x14ac:dyDescent="0.25">
      <c r="A57" t="s">
        <v>96</v>
      </c>
      <c r="B57" s="7" t="str">
        <f t="shared" ca="1" si="80"/>
        <v/>
      </c>
      <c r="C57" s="7" t="str">
        <f t="shared" ca="1" si="79"/>
        <v/>
      </c>
      <c r="D57" s="7" t="str">
        <f t="shared" ca="1" si="79"/>
        <v/>
      </c>
      <c r="E57" s="7" t="str">
        <f t="shared" ca="1" si="79"/>
        <v/>
      </c>
      <c r="F57" s="7" t="str">
        <f t="shared" ca="1" si="79"/>
        <v/>
      </c>
      <c r="G57" s="7">
        <f t="shared" ca="1" si="79"/>
        <v>4.8930606237532235</v>
      </c>
      <c r="H57" s="7">
        <f t="shared" ca="1" si="79"/>
        <v>4.8930606237532235</v>
      </c>
      <c r="I57" s="7">
        <f t="shared" ca="1" si="79"/>
        <v>4.8930606237532235</v>
      </c>
      <c r="J57" s="7">
        <f t="shared" ca="1" si="79"/>
        <v>4.8930606237532235</v>
      </c>
      <c r="K57" s="7">
        <f t="shared" ca="1" si="79"/>
        <v>4.8930606237532235</v>
      </c>
      <c r="L57" s="7">
        <f t="shared" ca="1" si="79"/>
        <v>4.8930606237532235</v>
      </c>
      <c r="M57" s="7">
        <f t="shared" ca="1" si="79"/>
        <v>4.8930606237532235</v>
      </c>
      <c r="N57" s="7" t="str">
        <f t="shared" ca="1" si="79"/>
        <v/>
      </c>
      <c r="O57" s="7" t="str">
        <f t="shared" ca="1" si="79"/>
        <v/>
      </c>
      <c r="P57" s="7" t="str">
        <f t="shared" ca="1" si="79"/>
        <v/>
      </c>
      <c r="Q57" s="7" t="str">
        <f t="shared" ca="1" si="79"/>
        <v/>
      </c>
      <c r="R57" s="7" t="str">
        <f t="shared" ca="1" si="79"/>
        <v/>
      </c>
      <c r="S57" s="7" t="str">
        <f t="shared" ca="1" si="79"/>
        <v/>
      </c>
      <c r="T57" s="7" t="str">
        <f t="shared" ca="1" si="79"/>
        <v/>
      </c>
      <c r="U57" s="7" t="str">
        <f t="shared" ca="1" si="79"/>
        <v/>
      </c>
      <c r="V57" s="7">
        <f t="shared" ca="1" si="79"/>
        <v>2.7337468982630271</v>
      </c>
      <c r="W57" s="7">
        <f t="shared" ca="1" si="79"/>
        <v>2.7337468982630271</v>
      </c>
      <c r="X57" s="7">
        <f t="shared" ca="1" si="79"/>
        <v>2.7337468982630271</v>
      </c>
      <c r="Y57" s="7">
        <f t="shared" ca="1" si="79"/>
        <v>2.7337468982630271</v>
      </c>
      <c r="Z57" s="7">
        <f t="shared" ca="1" si="79"/>
        <v>2.7337468982630271</v>
      </c>
      <c r="AA57" s="7">
        <f t="shared" ca="1" si="79"/>
        <v>2.7337468982630271</v>
      </c>
      <c r="AB57" s="7" t="str">
        <f t="shared" ca="1" si="79"/>
        <v/>
      </c>
      <c r="AC57" s="7" t="str">
        <f t="shared" ca="1" si="79"/>
        <v/>
      </c>
      <c r="AD57" s="7" t="str">
        <f t="shared" ca="1" si="79"/>
        <v/>
      </c>
      <c r="AE57" s="7" t="str">
        <f t="shared" ca="1" si="79"/>
        <v/>
      </c>
      <c r="AF57" s="7" t="str">
        <f t="shared" ca="1" si="79"/>
        <v/>
      </c>
      <c r="AG57" s="7">
        <f t="shared" ca="1" si="79"/>
        <v>1.8857142857142857</v>
      </c>
      <c r="AH57" s="7">
        <f t="shared" ca="1" si="79"/>
        <v>1.8857142857142857</v>
      </c>
      <c r="AI57" s="7">
        <f t="shared" ca="1" si="79"/>
        <v>1.8857142857142857</v>
      </c>
      <c r="AJ57" s="7">
        <f t="shared" ca="1" si="79"/>
        <v>1.8857142857142857</v>
      </c>
    </row>
    <row r="58" spans="1:68" x14ac:dyDescent="0.25">
      <c r="A58" t="s">
        <v>197</v>
      </c>
      <c r="B58" s="7" t="str">
        <f t="shared" ca="1" si="80"/>
        <v/>
      </c>
      <c r="C58" s="7" t="str">
        <f t="shared" ca="1" si="79"/>
        <v/>
      </c>
      <c r="D58" s="7" t="str">
        <f t="shared" ca="1" si="79"/>
        <v/>
      </c>
      <c r="E58" s="7" t="str">
        <f t="shared" ca="1" si="79"/>
        <v/>
      </c>
      <c r="F58" s="7">
        <f t="shared" ca="1" si="79"/>
        <v>8.0930606237532228</v>
      </c>
      <c r="G58" s="7" t="str">
        <f t="shared" ca="1" si="79"/>
        <v/>
      </c>
      <c r="H58" s="7" t="str">
        <f t="shared" ca="1" si="79"/>
        <v/>
      </c>
      <c r="I58" s="7" t="str">
        <f t="shared" ca="1" si="79"/>
        <v/>
      </c>
      <c r="J58" s="7" t="str">
        <f t="shared" ca="1" si="79"/>
        <v/>
      </c>
      <c r="K58" s="7" t="str">
        <f t="shared" ca="1" si="79"/>
        <v/>
      </c>
      <c r="L58" s="7" t="str">
        <f t="shared" ca="1" si="79"/>
        <v/>
      </c>
      <c r="M58" s="7" t="str">
        <f t="shared" ca="1" si="79"/>
        <v/>
      </c>
      <c r="N58" s="7" t="str">
        <f t="shared" ca="1" si="79"/>
        <v/>
      </c>
      <c r="O58" s="7" t="str">
        <f t="shared" ca="1" si="79"/>
        <v/>
      </c>
      <c r="P58" s="7" t="str">
        <f t="shared" ca="1" si="79"/>
        <v/>
      </c>
      <c r="Q58" s="7" t="str">
        <f t="shared" ca="1" si="79"/>
        <v/>
      </c>
      <c r="R58" s="7" t="str">
        <f t="shared" ca="1" si="79"/>
        <v/>
      </c>
      <c r="S58" s="7">
        <f t="shared" ca="1" si="79"/>
        <v>3.2337468982630271</v>
      </c>
      <c r="T58" s="7" t="str">
        <f t="shared" ca="1" si="79"/>
        <v/>
      </c>
      <c r="U58" s="7" t="str">
        <f t="shared" ca="1" si="79"/>
        <v/>
      </c>
      <c r="V58" s="7" t="str">
        <f t="shared" ca="1" si="79"/>
        <v/>
      </c>
      <c r="W58" s="7" t="str">
        <f t="shared" ca="1" si="79"/>
        <v/>
      </c>
      <c r="X58" s="7" t="str">
        <f t="shared" ca="1" si="79"/>
        <v/>
      </c>
      <c r="Y58" s="7" t="str">
        <f t="shared" ca="1" si="79"/>
        <v/>
      </c>
      <c r="Z58" s="7" t="str">
        <f t="shared" ca="1" si="79"/>
        <v/>
      </c>
      <c r="AA58" s="7" t="str">
        <f t="shared" ca="1" si="79"/>
        <v/>
      </c>
      <c r="AB58" s="7" t="str">
        <f t="shared" ca="1" si="79"/>
        <v/>
      </c>
      <c r="AC58" s="7" t="str">
        <f t="shared" ca="1" si="79"/>
        <v/>
      </c>
      <c r="AD58" s="7" t="str">
        <f t="shared" ca="1" si="79"/>
        <v/>
      </c>
      <c r="AE58" s="7" t="str">
        <f t="shared" ca="1" si="79"/>
        <v/>
      </c>
      <c r="AF58" s="7" t="str">
        <f t="shared" ca="1" si="79"/>
        <v/>
      </c>
      <c r="AG58" s="7" t="str">
        <f t="shared" ca="1" si="79"/>
        <v/>
      </c>
      <c r="AH58" s="7" t="str">
        <f t="shared" ca="1" si="79"/>
        <v/>
      </c>
      <c r="AI58" s="7" t="str">
        <f t="shared" ca="1" si="79"/>
        <v/>
      </c>
      <c r="AJ58" s="7" t="str">
        <f t="shared" ca="1" si="79"/>
        <v/>
      </c>
    </row>
    <row r="59" spans="1:68" x14ac:dyDescent="0.25">
      <c r="A59" t="s">
        <v>100</v>
      </c>
      <c r="B59" s="7" t="str">
        <f t="shared" ca="1" si="80"/>
        <v/>
      </c>
      <c r="C59" s="7" t="str">
        <f t="shared" ca="1" si="79"/>
        <v/>
      </c>
      <c r="D59" s="7" t="str">
        <f t="shared" ca="1" si="79"/>
        <v/>
      </c>
      <c r="E59" s="7" t="str">
        <f t="shared" ca="1" si="79"/>
        <v/>
      </c>
      <c r="F59" s="7" t="str">
        <f t="shared" ca="1" si="79"/>
        <v/>
      </c>
      <c r="G59" s="7" t="str">
        <f t="shared" ca="1" si="79"/>
        <v/>
      </c>
      <c r="H59" s="7" t="str">
        <f t="shared" ca="1" si="79"/>
        <v/>
      </c>
      <c r="I59" s="7" t="str">
        <f t="shared" ca="1" si="79"/>
        <v/>
      </c>
      <c r="J59" s="7" t="str">
        <f t="shared" ca="1" si="79"/>
        <v/>
      </c>
      <c r="K59" s="7" t="str">
        <f t="shared" ca="1" si="79"/>
        <v/>
      </c>
      <c r="L59" s="7" t="str">
        <f t="shared" ca="1" si="79"/>
        <v/>
      </c>
      <c r="M59" s="7" t="str">
        <f t="shared" ca="1" si="79"/>
        <v/>
      </c>
      <c r="N59" s="7" t="str">
        <f t="shared" ca="1" si="79"/>
        <v/>
      </c>
      <c r="O59" s="7" t="str">
        <f t="shared" ca="1" si="79"/>
        <v/>
      </c>
      <c r="P59" s="7" t="str">
        <f t="shared" ca="1" si="79"/>
        <v/>
      </c>
      <c r="Q59" s="7" t="str">
        <f t="shared" ca="1" si="79"/>
        <v/>
      </c>
      <c r="R59" s="7" t="str">
        <f t="shared" ca="1" si="79"/>
        <v/>
      </c>
      <c r="S59" s="7" t="str">
        <f t="shared" ca="1" si="79"/>
        <v/>
      </c>
      <c r="T59" s="7" t="str">
        <f t="shared" ca="1" si="79"/>
        <v/>
      </c>
      <c r="U59" s="7" t="str">
        <f t="shared" ca="1" si="79"/>
        <v/>
      </c>
      <c r="V59" s="7" t="str">
        <f t="shared" ca="1" si="79"/>
        <v/>
      </c>
      <c r="W59" s="7" t="str">
        <f t="shared" ca="1" si="79"/>
        <v/>
      </c>
      <c r="X59" s="7" t="str">
        <f t="shared" ca="1" si="79"/>
        <v/>
      </c>
      <c r="Y59" s="7" t="str">
        <f t="shared" ca="1" si="79"/>
        <v/>
      </c>
      <c r="Z59" s="7" t="str">
        <f t="shared" ca="1" si="79"/>
        <v/>
      </c>
      <c r="AA59" s="7" t="str">
        <f t="shared" ca="1" si="79"/>
        <v/>
      </c>
      <c r="AB59" s="7" t="str">
        <f t="shared" ca="1" si="79"/>
        <v/>
      </c>
      <c r="AC59" s="7" t="str">
        <f t="shared" ca="1" si="79"/>
        <v/>
      </c>
      <c r="AD59" s="7" t="str">
        <f t="shared" ca="1" si="79"/>
        <v/>
      </c>
      <c r="AE59" s="7" t="str">
        <f t="shared" ca="1" si="79"/>
        <v/>
      </c>
      <c r="AF59" s="7">
        <f t="shared" ca="1" si="79"/>
        <v>1.9502304147465437</v>
      </c>
      <c r="AG59" s="7" t="str">
        <f t="shared" ca="1" si="79"/>
        <v/>
      </c>
      <c r="AH59" s="7" t="str">
        <f t="shared" ca="1" si="79"/>
        <v/>
      </c>
      <c r="AI59" s="7" t="str">
        <f t="shared" ca="1" si="79"/>
        <v/>
      </c>
      <c r="AJ59" s="7" t="str">
        <f t="shared" ca="1" si="79"/>
        <v/>
      </c>
    </row>
    <row r="60" spans="1:68" x14ac:dyDescent="0.25">
      <c r="A60" t="s">
        <v>196</v>
      </c>
      <c r="B60" s="7" t="str">
        <f t="shared" ca="1" si="80"/>
        <v/>
      </c>
      <c r="C60" s="7" t="str">
        <f t="shared" ca="1" si="79"/>
        <v/>
      </c>
      <c r="D60" s="7" t="str">
        <f t="shared" ca="1" si="79"/>
        <v/>
      </c>
      <c r="E60" s="7" t="str">
        <f t="shared" ca="1" si="79"/>
        <v/>
      </c>
      <c r="F60" s="7" t="str">
        <f t="shared" ca="1" si="79"/>
        <v/>
      </c>
      <c r="G60" s="7" t="str">
        <f t="shared" ca="1" si="79"/>
        <v/>
      </c>
      <c r="H60" s="7" t="str">
        <f t="shared" ca="1" si="79"/>
        <v/>
      </c>
      <c r="I60" s="7" t="str">
        <f t="shared" ca="1" si="79"/>
        <v/>
      </c>
      <c r="J60" s="7" t="str">
        <f t="shared" ca="1" si="79"/>
        <v/>
      </c>
      <c r="K60" s="7" t="str">
        <f t="shared" ca="1" si="79"/>
        <v/>
      </c>
      <c r="L60" s="7" t="str">
        <f t="shared" ca="1" si="79"/>
        <v/>
      </c>
      <c r="M60" s="7" t="str">
        <f t="shared" ca="1" si="79"/>
        <v/>
      </c>
      <c r="N60" s="7" t="str">
        <f t="shared" ca="1" si="79"/>
        <v/>
      </c>
      <c r="O60" s="7" t="str">
        <f t="shared" ca="1" si="79"/>
        <v/>
      </c>
      <c r="P60" s="7" t="str">
        <f t="shared" ca="1" si="79"/>
        <v/>
      </c>
      <c r="Q60" s="7" t="str">
        <f t="shared" ca="1" si="79"/>
        <v/>
      </c>
      <c r="R60" s="7">
        <f t="shared" ca="1" si="79"/>
        <v>3.3513939570865565</v>
      </c>
      <c r="S60" s="7" t="str">
        <f t="shared" ca="1" si="79"/>
        <v/>
      </c>
      <c r="T60" s="7" t="str">
        <f t="shared" ca="1" si="79"/>
        <v/>
      </c>
      <c r="U60" s="7" t="str">
        <f t="shared" ca="1" si="79"/>
        <v/>
      </c>
      <c r="V60" s="7" t="str">
        <f t="shared" ca="1" si="79"/>
        <v/>
      </c>
      <c r="W60" s="7" t="str">
        <f t="shared" ca="1" si="79"/>
        <v/>
      </c>
      <c r="X60" s="7" t="str">
        <f t="shared" ca="1" si="79"/>
        <v/>
      </c>
      <c r="Y60" s="7" t="str">
        <f t="shared" ca="1" si="79"/>
        <v/>
      </c>
      <c r="Z60" s="7" t="str">
        <f t="shared" ca="1" si="79"/>
        <v/>
      </c>
      <c r="AA60" s="7" t="str">
        <f t="shared" ca="1" si="79"/>
        <v/>
      </c>
      <c r="AB60" s="7" t="str">
        <f t="shared" ca="1" si="79"/>
        <v/>
      </c>
      <c r="AC60" s="7" t="str">
        <f t="shared" ca="1" si="79"/>
        <v/>
      </c>
      <c r="AD60" s="7" t="str">
        <f t="shared" ca="1" si="79"/>
        <v/>
      </c>
      <c r="AE60" s="7" t="str">
        <f t="shared" ca="1" si="79"/>
        <v/>
      </c>
      <c r="AF60" s="7" t="str">
        <f t="shared" ca="1" si="79"/>
        <v/>
      </c>
      <c r="AG60" s="7" t="str">
        <f t="shared" ca="1" si="79"/>
        <v/>
      </c>
      <c r="AH60" s="7" t="str">
        <f t="shared" ca="1" si="79"/>
        <v/>
      </c>
      <c r="AI60" s="7" t="str">
        <f t="shared" ca="1" si="79"/>
        <v/>
      </c>
      <c r="AJ60" s="7" t="str">
        <f t="shared" ca="1" si="79"/>
        <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3</vt:i4>
      </vt:variant>
      <vt:variant>
        <vt:lpstr>Named Ranges</vt:lpstr>
      </vt:variant>
      <vt:variant>
        <vt:i4>16</vt:i4>
      </vt:variant>
    </vt:vector>
  </HeadingPairs>
  <TitlesOfParts>
    <vt:vector size="26" baseType="lpstr">
      <vt:lpstr>Assump</vt:lpstr>
      <vt:lpstr>Calc</vt:lpstr>
      <vt:lpstr>Bk</vt:lpstr>
      <vt:lpstr>Misc</vt:lpstr>
      <vt:lpstr>Sheet1</vt:lpstr>
      <vt:lpstr>CostAllocationExample</vt:lpstr>
      <vt:lpstr>GenUnits</vt:lpstr>
      <vt:lpstr>Chart5</vt:lpstr>
      <vt:lpstr>Chart2</vt:lpstr>
      <vt:lpstr>Chart4</vt:lpstr>
      <vt:lpstr>AC_CE</vt:lpstr>
      <vt:lpstr>BkName</vt:lpstr>
      <vt:lpstr>DeMinimis</vt:lpstr>
      <vt:lpstr>Extra_DC</vt:lpstr>
      <vt:lpstr>HVDC_IR_transfer_cap</vt:lpstr>
      <vt:lpstr>HVDC_Received_Max</vt:lpstr>
      <vt:lpstr>LargeThermal_Flag</vt:lpstr>
      <vt:lpstr>ModulationRisk</vt:lpstr>
      <vt:lpstr>NI_demand</vt:lpstr>
      <vt:lpstr>NI_IL</vt:lpstr>
      <vt:lpstr>Pole2_limit</vt:lpstr>
      <vt:lpstr>Pro_Or_Run</vt:lpstr>
      <vt:lpstr>ResArray_Out</vt:lpstr>
      <vt:lpstr>RunwayAlloc_TL_National</vt:lpstr>
      <vt:lpstr>RunwayAlloc_TL_WithinIsland</vt:lpstr>
      <vt:lpstr>Tiwai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Coates</dc:creator>
  <cp:lastModifiedBy>Kylie Agnew</cp:lastModifiedBy>
  <dcterms:created xsi:type="dcterms:W3CDTF">2010-10-07T21:12:31Z</dcterms:created>
  <dcterms:modified xsi:type="dcterms:W3CDTF">2016-11-16T21:19:46Z</dcterms:modified>
</cp:coreProperties>
</file>