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996" windowHeight="9504"/>
  </bookViews>
  <sheets>
    <sheet name="Options" sheetId="11" r:id="rId1"/>
    <sheet name="Global assumptions" sheetId="8" r:id="rId2"/>
    <sheet name="Timing calculations" sheetId="6" r:id="rId3"/>
  </sheets>
  <definedNames>
    <definedName name="DiscountRate">'Global assumptions'!$C$4:$E$4</definedName>
    <definedName name="EvaluationPeriod">'Global assumptions'!$C$5:$E$5</definedName>
    <definedName name="_xlnm.Print_Area" localSheetId="0">Options!$A$3:$K$68</definedName>
    <definedName name="YearsToImplement">'Global assumptions'!$C$6:$E$6</definedName>
  </definedNames>
  <calcPr calcId="171027"/>
</workbook>
</file>

<file path=xl/calcChain.xml><?xml version="1.0" encoding="utf-8"?>
<calcChain xmlns="http://schemas.openxmlformats.org/spreadsheetml/2006/main">
  <c r="H11" i="11" l="1"/>
  <c r="G68" i="11" l="1"/>
  <c r="I11" i="11" l="1"/>
  <c r="G11" i="11"/>
  <c r="I32" i="11" l="1"/>
  <c r="H32" i="11"/>
  <c r="G32" i="11"/>
  <c r="I43" i="11"/>
  <c r="I44" i="11" s="1"/>
  <c r="H43" i="11"/>
  <c r="H44" i="11" s="1"/>
  <c r="G43" i="11"/>
  <c r="G44" i="11" s="1"/>
  <c r="C20" i="11"/>
  <c r="E44" i="11"/>
  <c r="D44" i="11"/>
  <c r="C44" i="11"/>
  <c r="I27" i="11"/>
  <c r="H27" i="11"/>
  <c r="G27" i="11"/>
  <c r="E27" i="11"/>
  <c r="D27" i="11"/>
  <c r="C27" i="11"/>
  <c r="I52" i="11" l="1"/>
  <c r="D52" i="11"/>
  <c r="C52" i="11"/>
  <c r="C23" i="6" l="1"/>
  <c r="C8" i="6" s="1"/>
  <c r="C22" i="6"/>
  <c r="C36" i="6" s="1"/>
  <c r="C19" i="6"/>
  <c r="C4" i="6" s="1"/>
  <c r="C11" i="8"/>
  <c r="C20" i="6" s="1"/>
  <c r="C5" i="6" s="1"/>
  <c r="E66" i="11"/>
  <c r="E68" i="11" s="1"/>
  <c r="D66" i="11"/>
  <c r="D68" i="11" s="1"/>
  <c r="C66" i="11"/>
  <c r="C68" i="11" s="1"/>
  <c r="E53" i="11"/>
  <c r="D53" i="11"/>
  <c r="C53" i="11"/>
  <c r="E39" i="11"/>
  <c r="D39" i="11"/>
  <c r="C39" i="11"/>
  <c r="D37" i="11"/>
  <c r="C37" i="11" s="1"/>
  <c r="E21" i="11"/>
  <c r="D21" i="11"/>
  <c r="C21" i="11"/>
  <c r="E19" i="11"/>
  <c r="C19" i="11"/>
  <c r="E12" i="11"/>
  <c r="C12" i="11"/>
  <c r="E15" i="8"/>
  <c r="D15" i="8"/>
  <c r="C15" i="8"/>
  <c r="C7" i="6" l="1"/>
  <c r="C37" i="6"/>
  <c r="D61" i="11"/>
  <c r="H53" i="11"/>
  <c r="H61" i="11" s="1"/>
  <c r="C61" i="11"/>
  <c r="G53" i="11"/>
  <c r="G61" i="11" s="1"/>
  <c r="E61" i="11"/>
  <c r="I53" i="11"/>
  <c r="I61" i="11" s="1"/>
  <c r="C33" i="6"/>
  <c r="C34" i="6"/>
  <c r="E37" i="11"/>
  <c r="H66" i="11"/>
  <c r="H68" i="11" s="1"/>
  <c r="I66" i="11"/>
  <c r="I68" i="11" s="1"/>
  <c r="I39" i="11" l="1"/>
  <c r="H39" i="11"/>
  <c r="G39" i="11"/>
  <c r="H37" i="11"/>
  <c r="I37" i="11" s="1"/>
  <c r="I21" i="11"/>
  <c r="H21" i="11"/>
  <c r="G21" i="11"/>
  <c r="I19" i="11"/>
  <c r="G19" i="11"/>
  <c r="I12" i="11"/>
  <c r="G12" i="11"/>
  <c r="D19" i="6"/>
  <c r="E19" i="6" s="1"/>
  <c r="F19" i="6" s="1"/>
  <c r="G19" i="6" s="1"/>
  <c r="H19" i="6" s="1"/>
  <c r="I19" i="6" s="1"/>
  <c r="J19" i="6" s="1"/>
  <c r="K19" i="6" s="1"/>
  <c r="L19" i="6" s="1"/>
  <c r="M19" i="6" s="1"/>
  <c r="N19" i="6" s="1"/>
  <c r="O19" i="6" s="1"/>
  <c r="P19" i="6" s="1"/>
  <c r="Q19" i="6" s="1"/>
  <c r="R19" i="6" s="1"/>
  <c r="S19" i="6" s="1"/>
  <c r="T19" i="6" s="1"/>
  <c r="U19" i="6" s="1"/>
  <c r="G37" i="11" l="1"/>
  <c r="D33" i="6"/>
  <c r="E33" i="6" s="1"/>
  <c r="F33" i="6" s="1"/>
  <c r="G33" i="6" s="1"/>
  <c r="H33" i="6" s="1"/>
  <c r="I33" i="6" s="1"/>
  <c r="J33" i="6" s="1"/>
  <c r="K33" i="6" s="1"/>
  <c r="L33" i="6" s="1"/>
  <c r="M33" i="6" s="1"/>
  <c r="N33" i="6" s="1"/>
  <c r="O33" i="6" s="1"/>
  <c r="P33" i="6" s="1"/>
  <c r="Q33" i="6" s="1"/>
  <c r="R33" i="6" s="1"/>
  <c r="S33" i="6" s="1"/>
  <c r="T33" i="6" s="1"/>
  <c r="U33" i="6" s="1"/>
  <c r="C38" i="6"/>
  <c r="D34" i="6"/>
  <c r="E34" i="6" s="1"/>
  <c r="F34" i="6" s="1"/>
  <c r="G34" i="6" s="1"/>
  <c r="G40" i="6" s="1"/>
  <c r="D22" i="6"/>
  <c r="C24" i="6"/>
  <c r="D20" i="6"/>
  <c r="E20" i="6" s="1"/>
  <c r="F20" i="6" s="1"/>
  <c r="G20" i="6" s="1"/>
  <c r="H20" i="6" s="1"/>
  <c r="H26" i="6" s="1"/>
  <c r="C9" i="6"/>
  <c r="D4" i="6"/>
  <c r="D1" i="6"/>
  <c r="E4" i="6" l="1"/>
  <c r="F4" i="6" s="1"/>
  <c r="G4" i="6" s="1"/>
  <c r="H4" i="6" s="1"/>
  <c r="I4" i="6" s="1"/>
  <c r="J4" i="6" s="1"/>
  <c r="K4" i="6" s="1"/>
  <c r="L4" i="6" s="1"/>
  <c r="M4" i="6" s="1"/>
  <c r="N4" i="6" s="1"/>
  <c r="O4" i="6" s="1"/>
  <c r="P4" i="6" s="1"/>
  <c r="Q4" i="6" s="1"/>
  <c r="R4" i="6" s="1"/>
  <c r="S4" i="6" s="1"/>
  <c r="T4" i="6" s="1"/>
  <c r="U4" i="6" s="1"/>
  <c r="D7" i="6"/>
  <c r="H34" i="6"/>
  <c r="H40" i="6" s="1"/>
  <c r="I20" i="6"/>
  <c r="I26" i="6" s="1"/>
  <c r="C42" i="6"/>
  <c r="D36" i="6"/>
  <c r="E36" i="6" s="1"/>
  <c r="D37" i="6"/>
  <c r="E37" i="6" s="1"/>
  <c r="F37" i="6" s="1"/>
  <c r="G37" i="6" s="1"/>
  <c r="D23" i="6"/>
  <c r="E23" i="6" s="1"/>
  <c r="F23" i="6" s="1"/>
  <c r="G23" i="6" s="1"/>
  <c r="H23" i="6" s="1"/>
  <c r="E1" i="6"/>
  <c r="E51" i="11" l="1"/>
  <c r="C13" i="6"/>
  <c r="I34" i="6"/>
  <c r="I40" i="6" s="1"/>
  <c r="H37" i="6"/>
  <c r="J20" i="6"/>
  <c r="J26" i="6" s="1"/>
  <c r="I23" i="6"/>
  <c r="D38" i="6"/>
  <c r="E22" i="6"/>
  <c r="E24" i="6" s="1"/>
  <c r="E38" i="6"/>
  <c r="F36" i="6"/>
  <c r="D24" i="6"/>
  <c r="F1" i="6"/>
  <c r="E7" i="6"/>
  <c r="C51" i="11" l="1"/>
  <c r="J34" i="6"/>
  <c r="J40" i="6" s="1"/>
  <c r="I37" i="6"/>
  <c r="J23" i="6"/>
  <c r="K20" i="6"/>
  <c r="K26" i="6" s="1"/>
  <c r="C28" i="6"/>
  <c r="F22" i="6"/>
  <c r="G22" i="6" s="1"/>
  <c r="F38" i="6"/>
  <c r="G36" i="6"/>
  <c r="F7" i="6"/>
  <c r="G1" i="6"/>
  <c r="H1" i="6" s="1"/>
  <c r="I1" i="6" s="1"/>
  <c r="J1" i="6" s="1"/>
  <c r="K1" i="6" s="1"/>
  <c r="L1" i="6" s="1"/>
  <c r="M1" i="6" s="1"/>
  <c r="N1" i="6" s="1"/>
  <c r="O1" i="6" s="1"/>
  <c r="P1" i="6" s="1"/>
  <c r="Q1" i="6" s="1"/>
  <c r="R1" i="6" s="1"/>
  <c r="S1" i="6" s="1"/>
  <c r="T1" i="6" s="1"/>
  <c r="U1" i="6" s="1"/>
  <c r="D5" i="6"/>
  <c r="E5" i="6" s="1"/>
  <c r="F5" i="6" s="1"/>
  <c r="G5" i="6" s="1"/>
  <c r="H5" i="6" s="1"/>
  <c r="I5" i="6" s="1"/>
  <c r="I11" i="6" s="1"/>
  <c r="D51" i="11" l="1"/>
  <c r="K34" i="6"/>
  <c r="K40" i="6" s="1"/>
  <c r="J37" i="6"/>
  <c r="K23" i="6"/>
  <c r="L20" i="6"/>
  <c r="L26" i="6" s="1"/>
  <c r="J5" i="6"/>
  <c r="J11" i="6" s="1"/>
  <c r="F24" i="6"/>
  <c r="H36" i="6"/>
  <c r="G38" i="6"/>
  <c r="H22" i="6"/>
  <c r="G24" i="6"/>
  <c r="G7" i="6"/>
  <c r="K37" i="6" l="1"/>
  <c r="L34" i="6"/>
  <c r="L40" i="6" s="1"/>
  <c r="M20" i="6"/>
  <c r="M26" i="6" s="1"/>
  <c r="L23" i="6"/>
  <c r="K5" i="6"/>
  <c r="K11" i="6" s="1"/>
  <c r="I36" i="6"/>
  <c r="H38" i="6"/>
  <c r="I22" i="6"/>
  <c r="H24" i="6"/>
  <c r="H7" i="6"/>
  <c r="D8" i="6"/>
  <c r="D9" i="6" s="1"/>
  <c r="M34" i="6" l="1"/>
  <c r="M40" i="6" s="1"/>
  <c r="L37" i="6"/>
  <c r="M23" i="6"/>
  <c r="N20" i="6"/>
  <c r="N26" i="6" s="1"/>
  <c r="L5" i="6"/>
  <c r="L11" i="6" s="1"/>
  <c r="J36" i="6"/>
  <c r="I38" i="6"/>
  <c r="J22" i="6"/>
  <c r="I24" i="6"/>
  <c r="I7" i="6"/>
  <c r="E8" i="6"/>
  <c r="E9" i="6" s="1"/>
  <c r="M37" i="6" l="1"/>
  <c r="N34" i="6"/>
  <c r="N40" i="6" s="1"/>
  <c r="O20" i="6"/>
  <c r="O26" i="6" s="1"/>
  <c r="N23" i="6"/>
  <c r="M5" i="6"/>
  <c r="M11" i="6" s="1"/>
  <c r="K36" i="6"/>
  <c r="J38" i="6"/>
  <c r="K22" i="6"/>
  <c r="J24" i="6"/>
  <c r="J7" i="6"/>
  <c r="F8" i="6"/>
  <c r="F9" i="6" s="1"/>
  <c r="N37" i="6" l="1"/>
  <c r="O34" i="6"/>
  <c r="O40" i="6" s="1"/>
  <c r="P20" i="6"/>
  <c r="P26" i="6" s="1"/>
  <c r="O23" i="6"/>
  <c r="N5" i="6"/>
  <c r="N11" i="6" s="1"/>
  <c r="L36" i="6"/>
  <c r="K38" i="6"/>
  <c r="L22" i="6"/>
  <c r="K24" i="6"/>
  <c r="K7" i="6"/>
  <c r="G8" i="6"/>
  <c r="G9" i="6" s="1"/>
  <c r="O37" i="6" l="1"/>
  <c r="P34" i="6"/>
  <c r="P40" i="6" s="1"/>
  <c r="Q20" i="6"/>
  <c r="Q26" i="6" s="1"/>
  <c r="P23" i="6"/>
  <c r="O5" i="6"/>
  <c r="O11" i="6" s="1"/>
  <c r="L38" i="6"/>
  <c r="M36" i="6"/>
  <c r="L24" i="6"/>
  <c r="M22" i="6"/>
  <c r="L7" i="6"/>
  <c r="H8" i="6"/>
  <c r="H9" i="6" s="1"/>
  <c r="Q34" i="6" l="1"/>
  <c r="Q40" i="6" s="1"/>
  <c r="P37" i="6"/>
  <c r="Q23" i="6"/>
  <c r="R20" i="6"/>
  <c r="R26" i="6" s="1"/>
  <c r="R34" i="6"/>
  <c r="R40" i="6" s="1"/>
  <c r="P5" i="6"/>
  <c r="P11" i="6" s="1"/>
  <c r="N36" i="6"/>
  <c r="M38" i="6"/>
  <c r="M24" i="6"/>
  <c r="N22" i="6"/>
  <c r="M7" i="6"/>
  <c r="I8" i="6"/>
  <c r="I9" i="6" s="1"/>
  <c r="Q37" i="6" l="1"/>
  <c r="S34" i="6"/>
  <c r="S40" i="6" s="1"/>
  <c r="S20" i="6"/>
  <c r="S26" i="6" s="1"/>
  <c r="R23" i="6"/>
  <c r="R37" i="6"/>
  <c r="Q5" i="6"/>
  <c r="Q11" i="6" s="1"/>
  <c r="N38" i="6"/>
  <c r="O36" i="6"/>
  <c r="N24" i="6"/>
  <c r="O22" i="6"/>
  <c r="N7" i="6"/>
  <c r="J8" i="6"/>
  <c r="J9" i="6" s="1"/>
  <c r="S23" i="6" l="1"/>
  <c r="T20" i="6"/>
  <c r="T26" i="6" s="1"/>
  <c r="T34" i="6"/>
  <c r="T40" i="6" s="1"/>
  <c r="S37" i="6"/>
  <c r="R5" i="6"/>
  <c r="R11" i="6" s="1"/>
  <c r="O38" i="6"/>
  <c r="P36" i="6"/>
  <c r="O24" i="6"/>
  <c r="P22" i="6"/>
  <c r="O7" i="6"/>
  <c r="K8" i="6"/>
  <c r="K9" i="6" s="1"/>
  <c r="U34" i="6" l="1"/>
  <c r="U40" i="6" s="1"/>
  <c r="U20" i="6"/>
  <c r="U26" i="6" s="1"/>
  <c r="T23" i="6"/>
  <c r="T37" i="6"/>
  <c r="S5" i="6"/>
  <c r="S11" i="6" s="1"/>
  <c r="P38" i="6"/>
  <c r="Q36" i="6"/>
  <c r="Q22" i="6"/>
  <c r="P24" i="6"/>
  <c r="P7" i="6"/>
  <c r="L8" i="6"/>
  <c r="L9" i="6" s="1"/>
  <c r="C43" i="6" l="1"/>
  <c r="E33" i="11" s="1"/>
  <c r="U37" i="6"/>
  <c r="U23" i="6"/>
  <c r="C29" i="6"/>
  <c r="D33" i="11" s="1"/>
  <c r="T5" i="6"/>
  <c r="T11" i="6" s="1"/>
  <c r="Q38" i="6"/>
  <c r="R36" i="6"/>
  <c r="R22" i="6"/>
  <c r="Q24" i="6"/>
  <c r="Q7" i="6"/>
  <c r="M8" i="6"/>
  <c r="M9" i="6" s="1"/>
  <c r="E34" i="11" l="1"/>
  <c r="E40" i="11"/>
  <c r="E41" i="11" s="1"/>
  <c r="D34" i="11"/>
  <c r="D40" i="11"/>
  <c r="D41" i="11" s="1"/>
  <c r="I33" i="11"/>
  <c r="H33" i="11"/>
  <c r="U5" i="6"/>
  <c r="U11" i="6" s="1"/>
  <c r="S36" i="6"/>
  <c r="R38" i="6"/>
  <c r="S22" i="6"/>
  <c r="R24" i="6"/>
  <c r="R7" i="6"/>
  <c r="N8" i="6"/>
  <c r="N9" i="6" s="1"/>
  <c r="E46" i="11" l="1"/>
  <c r="E60" i="11" s="1"/>
  <c r="D46" i="11"/>
  <c r="D60" i="11" s="1"/>
  <c r="H40" i="11"/>
  <c r="H41" i="11" s="1"/>
  <c r="H34" i="11"/>
  <c r="I40" i="11"/>
  <c r="I41" i="11" s="1"/>
  <c r="I34" i="11"/>
  <c r="C14" i="6"/>
  <c r="C33" i="11" s="1"/>
  <c r="S38" i="6"/>
  <c r="T36" i="6"/>
  <c r="S24" i="6"/>
  <c r="T22" i="6"/>
  <c r="S7" i="6"/>
  <c r="O8" i="6"/>
  <c r="O9" i="6" s="1"/>
  <c r="H46" i="11" l="1"/>
  <c r="H60" i="11" s="1"/>
  <c r="I46" i="11"/>
  <c r="I60" i="11" s="1"/>
  <c r="C34" i="11"/>
  <c r="C40" i="11"/>
  <c r="C41" i="11" s="1"/>
  <c r="C46" i="11" s="1"/>
  <c r="C60" i="11" s="1"/>
  <c r="G33" i="11"/>
  <c r="T38" i="6"/>
  <c r="U36" i="6"/>
  <c r="U38" i="6" s="1"/>
  <c r="T24" i="6"/>
  <c r="U22" i="6"/>
  <c r="U24" i="6" s="1"/>
  <c r="T7" i="6"/>
  <c r="P8" i="6"/>
  <c r="P9" i="6" s="1"/>
  <c r="G34" i="11" l="1"/>
  <c r="G40" i="11"/>
  <c r="G41" i="11" s="1"/>
  <c r="C30" i="6"/>
  <c r="C44" i="6"/>
  <c r="U7" i="6"/>
  <c r="Q8" i="6"/>
  <c r="Q9" i="6" s="1"/>
  <c r="G46" i="11" l="1"/>
  <c r="G60" i="11" s="1"/>
  <c r="I10" i="11"/>
  <c r="I14" i="11" s="1"/>
  <c r="I15" i="11" s="1"/>
  <c r="E10" i="11"/>
  <c r="E14" i="11" s="1"/>
  <c r="H10" i="11"/>
  <c r="H14" i="11" s="1"/>
  <c r="H22" i="11" s="1"/>
  <c r="H23" i="11" s="1"/>
  <c r="D10" i="11"/>
  <c r="D14" i="11" s="1"/>
  <c r="R8" i="6"/>
  <c r="R9" i="6" s="1"/>
  <c r="H16" i="11" l="1"/>
  <c r="H25" i="11" s="1"/>
  <c r="H28" i="11" s="1"/>
  <c r="H59" i="11" s="1"/>
  <c r="H62" i="11" s="1"/>
  <c r="H70" i="11" s="1"/>
  <c r="H15" i="11"/>
  <c r="I16" i="11"/>
  <c r="D15" i="11"/>
  <c r="D22" i="11"/>
  <c r="D23" i="11" s="1"/>
  <c r="D16" i="11"/>
  <c r="I22" i="11"/>
  <c r="E15" i="11"/>
  <c r="E22" i="11"/>
  <c r="E23" i="11" s="1"/>
  <c r="E16" i="11"/>
  <c r="S8" i="6"/>
  <c r="S9" i="6" s="1"/>
  <c r="I23" i="11" l="1"/>
  <c r="I25" i="11" s="1"/>
  <c r="I28" i="11" s="1"/>
  <c r="I59" i="11" s="1"/>
  <c r="I62" i="11" s="1"/>
  <c r="I70" i="11" s="1"/>
  <c r="E25" i="11"/>
  <c r="E28" i="11" s="1"/>
  <c r="E59" i="11" s="1"/>
  <c r="E62" i="11" s="1"/>
  <c r="E70" i="11" s="1"/>
  <c r="D25" i="11"/>
  <c r="D28" i="11" s="1"/>
  <c r="D59" i="11" s="1"/>
  <c r="D62" i="11" s="1"/>
  <c r="D70" i="11" s="1"/>
  <c r="T8" i="6"/>
  <c r="T9" i="6" s="1"/>
  <c r="U8" i="6" l="1"/>
  <c r="U9" i="6" s="1"/>
  <c r="C15" i="6" s="1"/>
  <c r="G10" i="11" l="1"/>
  <c r="G14" i="11" s="1"/>
  <c r="G22" i="11" s="1"/>
  <c r="G23" i="11" s="1"/>
  <c r="C10" i="11"/>
  <c r="C14" i="11" s="1"/>
  <c r="G16" i="11" l="1"/>
  <c r="G25" i="11" s="1"/>
  <c r="G28" i="11" s="1"/>
  <c r="G59" i="11" s="1"/>
  <c r="G62" i="11" s="1"/>
  <c r="G70" i="11" s="1"/>
  <c r="G15" i="11"/>
  <c r="C16" i="11"/>
  <c r="C15" i="11"/>
  <c r="C22" i="11"/>
  <c r="C23" i="11" s="1"/>
  <c r="C25" i="11" l="1"/>
  <c r="C28" i="11" s="1"/>
  <c r="C59" i="11" s="1"/>
  <c r="C62" i="11" s="1"/>
  <c r="C70" i="11" s="1"/>
</calcChain>
</file>

<file path=xl/comments1.xml><?xml version="1.0" encoding="utf-8"?>
<comments xmlns="http://schemas.openxmlformats.org/spreadsheetml/2006/main">
  <authors>
    <author>David Hunt</author>
  </authors>
  <commentList>
    <comment ref="G11" authorId="0">
      <text>
        <r>
          <rPr>
            <sz val="9"/>
            <color indexed="81"/>
            <rFont val="Tahoma"/>
            <family val="2"/>
          </rPr>
          <t xml:space="preserve">
Assume 2/3 of benefit of RTD option</t>
        </r>
      </text>
    </comment>
    <comment ref="H11" authorId="0">
      <text>
        <r>
          <rPr>
            <sz val="9"/>
            <color indexed="81"/>
            <rFont val="Tahoma"/>
            <family val="2"/>
          </rPr>
          <t xml:space="preserve">
Assume 2/3 of benefit of RTD option</t>
        </r>
      </text>
    </comment>
    <comment ref="I11" authorId="0">
      <text>
        <r>
          <rPr>
            <sz val="9"/>
            <color indexed="81"/>
            <rFont val="Tahoma"/>
            <family val="2"/>
          </rPr>
          <t xml:space="preserve">
Assume 2/3 of benefit of RTD option</t>
        </r>
      </text>
    </comment>
    <comment ref="D19" authorId="0">
      <text>
        <r>
          <rPr>
            <sz val="9"/>
            <color indexed="81"/>
            <rFont val="Tahoma"/>
            <family val="2"/>
          </rPr>
          <t>Assumption from TPM OR paper.  WAP for DR/DG around $260/MWh higher than peaker SRMC</t>
        </r>
      </text>
    </comment>
    <comment ref="H19" authorId="0">
      <text>
        <r>
          <rPr>
            <sz val="9"/>
            <color indexed="81"/>
            <rFont val="Tahoma"/>
            <family val="2"/>
          </rPr>
          <t>Assumption from TPM OR paper.  WAP for DR/DG around $260/MWh higher than peaker SRMC</t>
        </r>
      </text>
    </comment>
    <comment ref="E52" authorId="0">
      <text>
        <r>
          <rPr>
            <sz val="9"/>
            <color indexed="81"/>
            <rFont val="Tahoma"/>
            <family val="2"/>
          </rPr>
          <t>Approximate interpolation between $1m (50MW) and $5m (100MW) recognising that it is non-linear</t>
        </r>
      </text>
    </comment>
  </commentList>
</comments>
</file>

<file path=xl/comments2.xml><?xml version="1.0" encoding="utf-8"?>
<comments xmlns="http://schemas.openxmlformats.org/spreadsheetml/2006/main">
  <authors>
    <author>David Hunt</author>
  </authors>
  <commentList>
    <comment ref="C10" authorId="0">
      <text>
        <r>
          <rPr>
            <sz val="9"/>
            <color indexed="81"/>
            <rFont val="Tahoma"/>
            <family val="2"/>
          </rPr>
          <t>Historic datai</t>
        </r>
      </text>
    </comment>
    <comment ref="C11" authorId="0">
      <text>
        <r>
          <rPr>
            <sz val="9"/>
            <color indexed="81"/>
            <rFont val="Tahoma"/>
            <family val="2"/>
          </rPr>
          <t>2.2 kW contribution at pealk, x no of ICPs</t>
        </r>
      </text>
    </comment>
  </commentList>
</comments>
</file>

<file path=xl/sharedStrings.xml><?xml version="1.0" encoding="utf-8"?>
<sst xmlns="http://schemas.openxmlformats.org/spreadsheetml/2006/main" count="179" uniqueCount="115">
  <si>
    <t>$M</t>
  </si>
  <si>
    <t>MW</t>
  </si>
  <si>
    <t>Amount of peaking generation required to substitute for deterred DR and DG</t>
  </si>
  <si>
    <t>%</t>
  </si>
  <si>
    <t>Cost of new peaking gen and associated network</t>
  </si>
  <si>
    <t>$M/MW</t>
  </si>
  <si>
    <t>Years until new investment required in peaking capacity</t>
  </si>
  <si>
    <t>Years</t>
  </si>
  <si>
    <t>Benefit inclusive of deferral</t>
  </si>
  <si>
    <t>Discount rate</t>
  </si>
  <si>
    <t>$M/year</t>
  </si>
  <si>
    <t>$/MWh</t>
  </si>
  <si>
    <t>$M/yr</t>
  </si>
  <si>
    <t>Hours per year</t>
  </si>
  <si>
    <t>Comments</t>
  </si>
  <si>
    <t>Global assumptions</t>
  </si>
  <si>
    <t>Base case</t>
  </si>
  <si>
    <t>Equivalent percentage of peak demand</t>
  </si>
  <si>
    <t>Difference in variable cost of DR cf peaker operation</t>
  </si>
  <si>
    <t>Average capacity factor</t>
  </si>
  <si>
    <t>Cost per year</t>
  </si>
  <si>
    <t>Evaluation period</t>
  </si>
  <si>
    <t>Incremental cost of increased DR operation</t>
  </si>
  <si>
    <t>Avoided capital cost of inefficient peaking generation (no deferral assumed)</t>
  </si>
  <si>
    <t>Discount factor for deferral of benefits</t>
  </si>
  <si>
    <t xml:space="preserve">Assumption </t>
  </si>
  <si>
    <t>Peak demand level</t>
  </si>
  <si>
    <t>Residential peak demand</t>
  </si>
  <si>
    <t>Provides 'reality check'</t>
  </si>
  <si>
    <t>Authority guidelines</t>
  </si>
  <si>
    <t>Effect 2 - Innovation benefit</t>
  </si>
  <si>
    <t>(Based on method in 'Pricing alignment discussion paper', WAG, June 2013, Appendix D)</t>
  </si>
  <si>
    <t>Modelled as capex saving from reduction in peaking plant, minus incremental cost of additional DR operation</t>
  </si>
  <si>
    <t>Ratio</t>
  </si>
  <si>
    <t>Additional peaking gen required as a result of deterred DR/DG operation</t>
  </si>
  <si>
    <t>Reduction in residential peak load enabled by improved price information</t>
  </si>
  <si>
    <t>Reduction in peaking generation requirement</t>
  </si>
  <si>
    <t>Capex saving from reduced peaker investment</t>
  </si>
  <si>
    <t>Assumption</t>
  </si>
  <si>
    <t>Hr/yr</t>
  </si>
  <si>
    <t>Present value of benefits and costs</t>
  </si>
  <si>
    <t>Lower case</t>
  </si>
  <si>
    <t>Higher case</t>
  </si>
  <si>
    <t>Participant costs</t>
  </si>
  <si>
    <t>Effect 3 - Reliability benefit</t>
  </si>
  <si>
    <t>Effect 1 - Demand response benefit</t>
  </si>
  <si>
    <t>Modelled as impact of system being above or below efficient capacity level</t>
  </si>
  <si>
    <t>Difference between actual and efficient level of capacity</t>
  </si>
  <si>
    <t>Difference as % of peak demand</t>
  </si>
  <si>
    <t>www.ea.govt.nz/dmsdocument/13936</t>
  </si>
  <si>
    <t>From Authority analysis of security margins</t>
  </si>
  <si>
    <t>Demand response benefit</t>
  </si>
  <si>
    <t>Reliability benefit</t>
  </si>
  <si>
    <t>Loss per year from having excess or insufficient capacity relative to optimum</t>
  </si>
  <si>
    <t>Assumption that additional residential DR has incremental cost that is 2 x that of effect 1</t>
  </si>
  <si>
    <t>Assumption - same proportion as effect 1</t>
  </si>
  <si>
    <t>www.ea.govt.nz/development/work-programme/wholesale/alignment-forecast-settlement-prices/consultation/</t>
  </si>
  <si>
    <t>Saving of capex in peaking plant</t>
  </si>
  <si>
    <t xml:space="preserve">WAG paper implicitly assumed variable cost for DR equivalent to variable cost of peaker - instead assume DR cost is greater by $250/MWh, i.e. DR around $550/MWh on average </t>
  </si>
  <si>
    <t>WAG paper estimated 0.5 to 0.9 - have assumed mid-point</t>
  </si>
  <si>
    <t>Item $m (present value)</t>
  </si>
  <si>
    <t>Yellow highlights are key input assumptions</t>
  </si>
  <si>
    <t>Plausible assumption</t>
  </si>
  <si>
    <t>Low case</t>
  </si>
  <si>
    <t>High case</t>
  </si>
  <si>
    <t>Load that could respond to spot prices</t>
  </si>
  <si>
    <t>WAG paper estimated at $1.5M/MW but adjusted for new information</t>
  </si>
  <si>
    <t>Time to implement</t>
  </si>
  <si>
    <t>Peak demand growth</t>
  </si>
  <si>
    <t>Residential peak demand growth</t>
  </si>
  <si>
    <t>%/pa</t>
  </si>
  <si>
    <t>Total</t>
  </si>
  <si>
    <t>Average</t>
  </si>
  <si>
    <t>Average response in eval period</t>
  </si>
  <si>
    <t>Average peak demand</t>
  </si>
  <si>
    <t>Average residential peak demand</t>
  </si>
  <si>
    <t>WAG paper estimated up to 400MW available based on larger users on distribution networks. Took average after growing peak over evaluation period</t>
  </si>
  <si>
    <t>Based on system operator assessment in ROM</t>
  </si>
  <si>
    <t>Loss over evaluation period</t>
  </si>
  <si>
    <t>Mid-case based on Authority</t>
  </si>
  <si>
    <t>WAG paper assumed deferral of 5-10 years.  Deferral now appears unlikely given scheduled plant closures and likely implementation delay</t>
  </si>
  <si>
    <t>Mid case</t>
  </si>
  <si>
    <t>Extra proportion that will respond if RTP option is implemented</t>
  </si>
  <si>
    <t>Existing &amp; latent DR</t>
  </si>
  <si>
    <t>Existing &amp; latent DG</t>
  </si>
  <si>
    <t>Reduced peak through innovation</t>
  </si>
  <si>
    <t>Transpower, Transmission Planning Report 2015, central case is 1.1% p.a., other rates inferred from Figure 4-2</t>
  </si>
  <si>
    <t>Adopt same as average - but note that residential has historically been more peaky, though new technologies may alter this</t>
  </si>
  <si>
    <t>Option 2 - 'RTD'</t>
  </si>
  <si>
    <t>Option 3 - 'RTP'</t>
  </si>
  <si>
    <t>Lower</t>
  </si>
  <si>
    <t>Higher</t>
  </si>
  <si>
    <t>Year</t>
  </si>
  <si>
    <t>Peak demand level 2015</t>
  </si>
  <si>
    <t>Residential peak demand 2015</t>
  </si>
  <si>
    <t>Existing &amp; latent DR 2015</t>
  </si>
  <si>
    <t>Existing &amp; latent DG 2015</t>
  </si>
  <si>
    <t>Present value of demand response benefits and costs</t>
  </si>
  <si>
    <t>Response not as high as option 2 because prices are ex-post and dispatchable demand regime is changed, assume 2/3rds effectiveness</t>
  </si>
  <si>
    <t>Savings in capex on peaking plant, enabled by greater residential DR</t>
  </si>
  <si>
    <t>Option B</t>
  </si>
  <si>
    <t>Option C</t>
  </si>
  <si>
    <t>Retail competition benefit (innovation)</t>
  </si>
  <si>
    <t>Benefits*</t>
  </si>
  <si>
    <t>Costs</t>
  </si>
  <si>
    <t>Pricing manager function (saving)</t>
  </si>
  <si>
    <t>System operation function</t>
  </si>
  <si>
    <t>Gross benefits</t>
  </si>
  <si>
    <t>Gross costs</t>
  </si>
  <si>
    <t>Net benefits/(costs)</t>
  </si>
  <si>
    <t>Years until benefits first accrue</t>
  </si>
  <si>
    <t>Present value of costs over 15 years</t>
  </si>
  <si>
    <t>* Excludes some benefits that have not be quantified</t>
  </si>
  <si>
    <t>Ratio where Options B &amp; C have same net benefit</t>
  </si>
  <si>
    <t>Performance ratio of Option C gross benefits to Option B gross 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</si>
</sst>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0.0"/>
    <numFmt numFmtId="166" formatCode="_-* #,##0_-;\-* #,##0_-;_-* &quot;-&quot;??_-;_-@_-"/>
    <numFmt numFmtId="167" formatCode="0.0%"/>
    <numFmt numFmtId="168" formatCode="_-* #,##0.0_-;\-* #,##0.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rgb="FFE8E8E8"/>
      <name val="Arial"/>
      <family val="2"/>
    </font>
    <font>
      <sz val="10"/>
      <color rgb="FF54000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rgb="FF540000"/>
      <name val="Arial"/>
      <family val="2"/>
    </font>
    <font>
      <i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F7BAF"/>
        <bgColor indexed="64"/>
      </patternFill>
    </fill>
    <fill>
      <patternFill patternType="solid">
        <fgColor rgb="FFCCD7E3"/>
        <bgColor indexed="64"/>
      </patternFill>
    </fill>
    <fill>
      <patternFill patternType="solid">
        <fgColor rgb="FFE7ECF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rgb="FFE8E8E8"/>
      </left>
      <right style="medium">
        <color rgb="FFE8E8E8"/>
      </right>
      <top style="medium">
        <color rgb="FFE8E8E8"/>
      </top>
      <bottom/>
      <diagonal/>
    </border>
    <border>
      <left style="medium">
        <color rgb="FFE8E8E8"/>
      </left>
      <right style="medium">
        <color rgb="FFE8E8E8"/>
      </right>
      <top/>
      <bottom style="thick">
        <color rgb="FFE8E8E8"/>
      </bottom>
      <diagonal/>
    </border>
    <border>
      <left style="medium">
        <color rgb="FFE8E8E8"/>
      </left>
      <right style="medium">
        <color rgb="FFE8E8E8"/>
      </right>
      <top style="thick">
        <color rgb="FFE8E8E8"/>
      </top>
      <bottom style="medium">
        <color rgb="FFE8E8E8"/>
      </bottom>
      <diagonal/>
    </border>
    <border>
      <left style="medium">
        <color rgb="FFE8E8E8"/>
      </left>
      <right style="medium">
        <color rgb="FFE8E8E8"/>
      </right>
      <top style="medium">
        <color rgb="FFE8E8E8"/>
      </top>
      <bottom style="medium">
        <color rgb="FFE8E8E8"/>
      </bottom>
      <diagonal/>
    </border>
    <border>
      <left style="medium">
        <color rgb="FFE8E8E8"/>
      </left>
      <right/>
      <top style="medium">
        <color rgb="FFE8E8E8"/>
      </top>
      <bottom style="medium">
        <color rgb="FFE8E8E8"/>
      </bottom>
      <diagonal/>
    </border>
    <border>
      <left/>
      <right/>
      <top style="medium">
        <color rgb="FFE8E8E8"/>
      </top>
      <bottom style="medium">
        <color rgb="FFE8E8E8"/>
      </bottom>
      <diagonal/>
    </border>
    <border>
      <left/>
      <right style="medium">
        <color rgb="FFE8E8E8"/>
      </right>
      <top style="medium">
        <color rgb="FFE8E8E8"/>
      </top>
      <bottom style="medium">
        <color rgb="FFE8E8E8"/>
      </bottom>
      <diagonal/>
    </border>
    <border>
      <left style="medium">
        <color rgb="FFE8E8E8"/>
      </left>
      <right style="medium">
        <color rgb="FFE8E8E8"/>
      </right>
      <top/>
      <bottom style="medium">
        <color rgb="FFE8E8E8"/>
      </bottom>
      <diagonal/>
    </border>
    <border>
      <left style="medium">
        <color rgb="FFE8E8E8"/>
      </left>
      <right style="medium">
        <color rgb="FFE8E8E8"/>
      </right>
      <top style="medium">
        <color rgb="FFE8E8E8"/>
      </top>
      <bottom style="thin">
        <color indexed="64"/>
      </bottom>
      <diagonal/>
    </border>
    <border>
      <left style="medium">
        <color rgb="FFE8E8E8"/>
      </left>
      <right style="medium">
        <color rgb="FFE8E8E8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</cellStyleXfs>
  <cellXfs count="86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0" fontId="0" fillId="2" borderId="0" xfId="0" applyFill="1"/>
    <xf numFmtId="0" fontId="0" fillId="2" borderId="0" xfId="0" applyFill="1" applyBorder="1"/>
    <xf numFmtId="9" fontId="3" fillId="2" borderId="0" xfId="2" applyFont="1" applyFill="1" applyBorder="1"/>
    <xf numFmtId="0" fontId="8" fillId="0" borderId="0" xfId="5"/>
    <xf numFmtId="9" fontId="0" fillId="2" borderId="0" xfId="0" applyNumberFormat="1" applyFill="1"/>
    <xf numFmtId="0" fontId="9" fillId="0" borderId="0" xfId="5" applyFont="1"/>
    <xf numFmtId="167" fontId="0" fillId="2" borderId="0" xfId="0" applyNumberFormat="1" applyFill="1"/>
    <xf numFmtId="167" fontId="3" fillId="2" borderId="0" xfId="2" applyNumberFormat="1" applyFont="1" applyFill="1" applyBorder="1"/>
    <xf numFmtId="0" fontId="10" fillId="0" borderId="0" xfId="5" applyFont="1"/>
    <xf numFmtId="0" fontId="11" fillId="0" borderId="0" xfId="5" applyFont="1"/>
    <xf numFmtId="0" fontId="11" fillId="0" borderId="0" xfId="5" applyFont="1" applyAlignment="1">
      <alignment horizontal="center"/>
    </xf>
    <xf numFmtId="0" fontId="12" fillId="0" borderId="0" xfId="5" applyFont="1"/>
    <xf numFmtId="0" fontId="1" fillId="0" borderId="0" xfId="0" applyFont="1"/>
    <xf numFmtId="166" fontId="1" fillId="2" borderId="0" xfId="3" applyNumberFormat="1" applyFont="1" applyFill="1"/>
    <xf numFmtId="166" fontId="1" fillId="0" borderId="0" xfId="3" applyNumberFormat="1" applyFont="1" applyFill="1"/>
    <xf numFmtId="166" fontId="11" fillId="2" borderId="0" xfId="3" applyNumberFormat="1" applyFont="1" applyFill="1"/>
    <xf numFmtId="166" fontId="11" fillId="0" borderId="0" xfId="3" applyNumberFormat="1" applyFont="1"/>
    <xf numFmtId="0" fontId="13" fillId="2" borderId="0" xfId="0" applyFont="1" applyFill="1"/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/>
    <xf numFmtId="9" fontId="13" fillId="0" borderId="0" xfId="2" applyFont="1"/>
    <xf numFmtId="0" fontId="13" fillId="0" borderId="0" xfId="0" applyFont="1" applyBorder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6" fillId="0" borderId="0" xfId="4" applyFont="1"/>
    <xf numFmtId="1" fontId="13" fillId="0" borderId="0" xfId="0" applyNumberFormat="1" applyFont="1" applyFill="1" applyBorder="1"/>
    <xf numFmtId="1" fontId="13" fillId="0" borderId="0" xfId="0" applyNumberFormat="1" applyFont="1"/>
    <xf numFmtId="9" fontId="13" fillId="2" borderId="0" xfId="2" applyFont="1" applyFill="1"/>
    <xf numFmtId="9" fontId="13" fillId="2" borderId="0" xfId="2" applyNumberFormat="1" applyFont="1" applyFill="1" applyBorder="1"/>
    <xf numFmtId="9" fontId="13" fillId="0" borderId="0" xfId="2" applyFont="1" applyBorder="1"/>
    <xf numFmtId="168" fontId="13" fillId="2" borderId="0" xfId="3" applyNumberFormat="1" applyFont="1" applyFill="1"/>
    <xf numFmtId="168" fontId="13" fillId="2" borderId="0" xfId="3" applyNumberFormat="1" applyFont="1" applyFill="1" applyBorder="1"/>
    <xf numFmtId="165" fontId="13" fillId="2" borderId="0" xfId="0" applyNumberFormat="1" applyFont="1" applyFill="1"/>
    <xf numFmtId="165" fontId="13" fillId="2" borderId="0" xfId="0" applyNumberFormat="1" applyFont="1" applyFill="1" applyBorder="1"/>
    <xf numFmtId="0" fontId="13" fillId="2" borderId="0" xfId="0" applyFont="1" applyFill="1" applyBorder="1"/>
    <xf numFmtId="166" fontId="13" fillId="0" borderId="0" xfId="3" applyNumberFormat="1" applyFont="1" applyBorder="1"/>
    <xf numFmtId="167" fontId="13" fillId="0" borderId="0" xfId="2" applyNumberFormat="1" applyFont="1" applyBorder="1"/>
    <xf numFmtId="164" fontId="13" fillId="0" borderId="0" xfId="1" applyNumberFormat="1" applyFont="1" applyBorder="1"/>
    <xf numFmtId="166" fontId="13" fillId="2" borderId="0" xfId="0" applyNumberFormat="1" applyFont="1" applyFill="1"/>
    <xf numFmtId="166" fontId="13" fillId="2" borderId="0" xfId="3" applyNumberFormat="1" applyFont="1" applyFill="1"/>
    <xf numFmtId="167" fontId="13" fillId="6" borderId="0" xfId="2" applyNumberFormat="1" applyFont="1" applyFill="1" applyBorder="1"/>
    <xf numFmtId="43" fontId="13" fillId="0" borderId="0" xfId="0" applyNumberFormat="1" applyFont="1"/>
    <xf numFmtId="165" fontId="13" fillId="0" borderId="0" xfId="0" applyNumberFormat="1" applyFont="1" applyBorder="1"/>
    <xf numFmtId="168" fontId="13" fillId="0" borderId="0" xfId="3" applyNumberFormat="1" applyFont="1" applyBorder="1"/>
    <xf numFmtId="10" fontId="13" fillId="2" borderId="0" xfId="2" applyNumberFormat="1" applyFont="1" applyFill="1" applyBorder="1"/>
    <xf numFmtId="168" fontId="13" fillId="0" borderId="0" xfId="0" applyNumberFormat="1" applyFont="1" applyBorder="1"/>
    <xf numFmtId="1" fontId="13" fillId="0" borderId="0" xfId="0" applyNumberFormat="1" applyFont="1" applyBorder="1"/>
    <xf numFmtId="167" fontId="13" fillId="0" borderId="0" xfId="2" applyNumberFormat="1" applyFont="1"/>
    <xf numFmtId="0" fontId="16" fillId="0" borderId="0" xfId="4" applyFont="1" applyBorder="1"/>
    <xf numFmtId="1" fontId="13" fillId="6" borderId="0" xfId="0" applyNumberFormat="1" applyFont="1" applyFill="1"/>
    <xf numFmtId="0" fontId="17" fillId="3" borderId="1" xfId="0" applyFont="1" applyFill="1" applyBorder="1" applyAlignment="1">
      <alignment horizontal="left" vertical="center" wrapText="1" readingOrder="1"/>
    </xf>
    <xf numFmtId="0" fontId="17" fillId="3" borderId="2" xfId="0" applyFont="1" applyFill="1" applyBorder="1" applyAlignment="1">
      <alignment horizontal="left" vertical="center" wrapText="1" readingOrder="1"/>
    </xf>
    <xf numFmtId="0" fontId="18" fillId="4" borderId="3" xfId="0" applyFont="1" applyFill="1" applyBorder="1" applyAlignment="1">
      <alignment horizontal="left" vertical="center" wrapText="1" readingOrder="1"/>
    </xf>
    <xf numFmtId="166" fontId="18" fillId="4" borderId="3" xfId="3" applyNumberFormat="1" applyFont="1" applyFill="1" applyBorder="1" applyAlignment="1">
      <alignment horizontal="right" vertical="center" wrapText="1" readingOrder="1"/>
    </xf>
    <xf numFmtId="166" fontId="13" fillId="0" borderId="0" xfId="0" applyNumberFormat="1" applyFont="1"/>
    <xf numFmtId="0" fontId="18" fillId="5" borderId="4" xfId="0" applyFont="1" applyFill="1" applyBorder="1" applyAlignment="1">
      <alignment horizontal="left" vertical="center" wrapText="1" readingOrder="1"/>
    </xf>
    <xf numFmtId="166" fontId="18" fillId="5" borderId="4" xfId="3" applyNumberFormat="1" applyFont="1" applyFill="1" applyBorder="1" applyAlignment="1">
      <alignment horizontal="right" vertical="center" wrapText="1" readingOrder="1"/>
    </xf>
    <xf numFmtId="0" fontId="18" fillId="4" borderId="4" xfId="0" applyFont="1" applyFill="1" applyBorder="1" applyAlignment="1">
      <alignment horizontal="left" vertical="center" wrapText="1" readingOrder="1"/>
    </xf>
    <xf numFmtId="0" fontId="19" fillId="0" borderId="0" xfId="0" applyFont="1" applyAlignment="1">
      <alignment horizontal="center"/>
    </xf>
    <xf numFmtId="166" fontId="1" fillId="6" borderId="0" xfId="3" applyNumberFormat="1" applyFont="1" applyFill="1"/>
    <xf numFmtId="0" fontId="12" fillId="0" borderId="0" xfId="5" applyFont="1" applyAlignment="1">
      <alignment horizontal="center"/>
    </xf>
    <xf numFmtId="0" fontId="6" fillId="0" borderId="0" xfId="0" applyFont="1" applyAlignment="1">
      <alignment horizontal="center" wrapText="1"/>
    </xf>
    <xf numFmtId="0" fontId="17" fillId="3" borderId="1" xfId="0" applyFont="1" applyFill="1" applyBorder="1" applyAlignment="1">
      <alignment horizontal="left" vertical="center" wrapText="1" readingOrder="1"/>
    </xf>
    <xf numFmtId="0" fontId="17" fillId="3" borderId="2" xfId="0" applyFont="1" applyFill="1" applyBorder="1" applyAlignment="1">
      <alignment horizontal="left" vertical="center" wrapText="1" readingOrder="1"/>
    </xf>
    <xf numFmtId="167" fontId="13" fillId="2" borderId="0" xfId="2" applyNumberFormat="1" applyFont="1" applyFill="1"/>
    <xf numFmtId="166" fontId="18" fillId="4" borderId="8" xfId="3" applyNumberFormat="1" applyFont="1" applyFill="1" applyBorder="1" applyAlignment="1">
      <alignment horizontal="right" vertical="center" wrapText="1" readingOrder="1"/>
    </xf>
    <xf numFmtId="0" fontId="18" fillId="5" borderId="8" xfId="0" applyFont="1" applyFill="1" applyBorder="1" applyAlignment="1">
      <alignment horizontal="left" vertical="center" wrapText="1" readingOrder="1"/>
    </xf>
    <xf numFmtId="166" fontId="18" fillId="5" borderId="8" xfId="3" applyNumberFormat="1" applyFont="1" applyFill="1" applyBorder="1" applyAlignment="1">
      <alignment horizontal="right" vertical="center" wrapText="1" readingOrder="1"/>
    </xf>
    <xf numFmtId="0" fontId="20" fillId="5" borderId="8" xfId="0" applyFont="1" applyFill="1" applyBorder="1" applyAlignment="1">
      <alignment horizontal="left" vertical="center" wrapText="1" readingOrder="1"/>
    </xf>
    <xf numFmtId="166" fontId="18" fillId="5" borderId="9" xfId="3" applyNumberFormat="1" applyFont="1" applyFill="1" applyBorder="1" applyAlignment="1">
      <alignment horizontal="right" vertical="center" wrapText="1" readingOrder="1"/>
    </xf>
    <xf numFmtId="166" fontId="18" fillId="4" borderId="10" xfId="3" applyNumberFormat="1" applyFont="1" applyFill="1" applyBorder="1" applyAlignment="1">
      <alignment horizontal="right" vertical="center" wrapText="1" readingOrder="1"/>
    </xf>
    <xf numFmtId="9" fontId="18" fillId="5" borderId="4" xfId="2" applyFont="1" applyFill="1" applyBorder="1" applyAlignment="1">
      <alignment horizontal="right" vertical="center" wrapText="1" readingOrder="1"/>
    </xf>
    <xf numFmtId="0" fontId="21" fillId="0" borderId="0" xfId="0" applyFont="1"/>
    <xf numFmtId="0" fontId="17" fillId="3" borderId="1" xfId="0" applyFont="1" applyFill="1" applyBorder="1" applyAlignment="1">
      <alignment horizontal="left" vertical="center" wrapText="1" readingOrder="1"/>
    </xf>
    <xf numFmtId="0" fontId="17" fillId="3" borderId="2" xfId="0" applyFont="1" applyFill="1" applyBorder="1" applyAlignment="1">
      <alignment horizontal="left" vertical="center" wrapText="1" readingOrder="1"/>
    </xf>
    <xf numFmtId="0" fontId="17" fillId="3" borderId="1" xfId="0" applyFont="1" applyFill="1" applyBorder="1" applyAlignment="1">
      <alignment horizontal="center" vertical="center" wrapText="1" readingOrder="1"/>
    </xf>
    <xf numFmtId="0" fontId="17" fillId="3" borderId="2" xfId="0" applyFont="1" applyFill="1" applyBorder="1" applyAlignment="1">
      <alignment horizontal="center" vertical="center" wrapText="1" readingOrder="1"/>
    </xf>
    <xf numFmtId="0" fontId="19" fillId="0" borderId="0" xfId="0" applyFont="1" applyAlignment="1">
      <alignment horizontal="center"/>
    </xf>
    <xf numFmtId="0" fontId="17" fillId="3" borderId="5" xfId="0" applyFont="1" applyFill="1" applyBorder="1" applyAlignment="1">
      <alignment horizontal="center" vertical="center" wrapText="1" readingOrder="1"/>
    </xf>
    <xf numFmtId="0" fontId="17" fillId="3" borderId="6" xfId="0" applyFont="1" applyFill="1" applyBorder="1" applyAlignment="1">
      <alignment horizontal="center" vertical="center" wrapText="1" readingOrder="1"/>
    </xf>
    <xf numFmtId="0" fontId="17" fillId="3" borderId="7" xfId="0" applyFont="1" applyFill="1" applyBorder="1" applyAlignment="1">
      <alignment horizontal="center" vertical="center" wrapText="1" readingOrder="1"/>
    </xf>
  </cellXfs>
  <cellStyles count="6">
    <cellStyle name="Comma" xfId="3" builtinId="3"/>
    <cellStyle name="Currency" xfId="1" builtinId="4"/>
    <cellStyle name="Hyperlink" xfId="4" builtinId="8"/>
    <cellStyle name="Normal" xfId="0" builtinId="0"/>
    <cellStyle name="Normal 2" xfId="5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a.govt.nz/development/work-programme/wholesale/alignment-forecast-settlement-prices/consultation/" TargetMode="External"/><Relationship Id="rId1" Type="http://schemas.openxmlformats.org/officeDocument/2006/relationships/hyperlink" Target="http://www.ea.govt.nz/dmsdocument/13936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90"/>
  <sheetViews>
    <sheetView tabSelected="1" zoomScale="85" zoomScaleNormal="85" workbookViewId="0">
      <selection activeCell="I87" sqref="I87"/>
    </sheetView>
  </sheetViews>
  <sheetFormatPr defaultColWidth="9.109375" defaultRowHeight="13.1" x14ac:dyDescent="0.25"/>
  <cols>
    <col min="1" max="1" width="54.109375" style="22" customWidth="1"/>
    <col min="2" max="2" width="10.33203125" style="22" customWidth="1"/>
    <col min="3" max="3" width="9.33203125" style="22" customWidth="1"/>
    <col min="4" max="4" width="9.44140625" style="22" customWidth="1"/>
    <col min="5" max="5" width="8.5546875" style="22" customWidth="1"/>
    <col min="6" max="6" width="4.44140625" style="22" customWidth="1"/>
    <col min="7" max="7" width="10.6640625" style="22" customWidth="1"/>
    <col min="8" max="8" width="8.44140625" style="22" customWidth="1"/>
    <col min="9" max="9" width="9.44140625" style="22" customWidth="1"/>
    <col min="10" max="10" width="12.33203125" style="22" customWidth="1"/>
    <col min="11" max="11" width="104.44140625" style="22" customWidth="1"/>
    <col min="12" max="16384" width="9.109375" style="22"/>
  </cols>
  <sheetData>
    <row r="1" spans="1:13" ht="15.75" x14ac:dyDescent="0.25">
      <c r="A1" s="21" t="s">
        <v>61</v>
      </c>
      <c r="C1" s="82" t="s">
        <v>88</v>
      </c>
      <c r="D1" s="82"/>
      <c r="E1" s="82"/>
      <c r="F1" s="63"/>
      <c r="G1" s="82" t="s">
        <v>89</v>
      </c>
      <c r="H1" s="82"/>
      <c r="I1" s="82"/>
      <c r="J1" s="24"/>
      <c r="L1" s="25"/>
    </row>
    <row r="2" spans="1:13" ht="12.8" x14ac:dyDescent="0.2">
      <c r="A2" s="24"/>
      <c r="F2" s="23"/>
      <c r="J2" s="24"/>
    </row>
    <row r="3" spans="1:13" ht="12.8" x14ac:dyDescent="0.2">
      <c r="F3" s="23"/>
      <c r="J3" s="24"/>
    </row>
    <row r="4" spans="1:13" ht="12.8" x14ac:dyDescent="0.2">
      <c r="A4" s="24" t="s">
        <v>45</v>
      </c>
      <c r="F4" s="23"/>
      <c r="J4" s="24"/>
      <c r="K4" s="24"/>
      <c r="M4" s="26"/>
    </row>
    <row r="5" spans="1:13" ht="12.8" x14ac:dyDescent="0.2">
      <c r="F5" s="23"/>
      <c r="J5" s="24"/>
      <c r="M5" s="27"/>
    </row>
    <row r="6" spans="1:13" ht="12.8" x14ac:dyDescent="0.2">
      <c r="A6" s="22" t="s">
        <v>32</v>
      </c>
      <c r="C6" s="22" t="s">
        <v>90</v>
      </c>
      <c r="D6" s="22" t="s">
        <v>16</v>
      </c>
      <c r="E6" s="22" t="s">
        <v>91</v>
      </c>
      <c r="F6" s="23"/>
      <c r="G6" s="22" t="s">
        <v>90</v>
      </c>
      <c r="H6" s="22" t="s">
        <v>16</v>
      </c>
      <c r="I6" s="22" t="s">
        <v>91</v>
      </c>
      <c r="J6" s="24"/>
      <c r="M6" s="27"/>
    </row>
    <row r="7" spans="1:13" ht="12.8" x14ac:dyDescent="0.2">
      <c r="A7" s="28" t="s">
        <v>31</v>
      </c>
      <c r="F7" s="23"/>
      <c r="J7" s="24"/>
      <c r="M7" s="27"/>
    </row>
    <row r="8" spans="1:13" ht="12.8" x14ac:dyDescent="0.2">
      <c r="F8" s="23"/>
      <c r="J8" s="24"/>
      <c r="M8" s="27"/>
    </row>
    <row r="9" spans="1:13" ht="12.8" x14ac:dyDescent="0.2">
      <c r="A9" s="28" t="s">
        <v>57</v>
      </c>
      <c r="F9" s="23"/>
      <c r="J9" s="24"/>
      <c r="K9" s="29" t="s">
        <v>56</v>
      </c>
      <c r="M9" s="27"/>
    </row>
    <row r="10" spans="1:13" ht="12.8" x14ac:dyDescent="0.2">
      <c r="A10" s="22" t="s">
        <v>65</v>
      </c>
      <c r="B10" s="22" t="s">
        <v>1</v>
      </c>
      <c r="C10" s="22">
        <f>'Timing calculations'!C15</f>
        <v>390</v>
      </c>
      <c r="D10" s="22">
        <f>'Timing calculations'!C30</f>
        <v>481.6</v>
      </c>
      <c r="E10" s="22">
        <f>'Timing calculations'!C44</f>
        <v>592</v>
      </c>
      <c r="F10" s="23"/>
      <c r="G10" s="22">
        <f>'Timing calculations'!C15</f>
        <v>390</v>
      </c>
      <c r="H10" s="30">
        <f>'Timing calculations'!C30</f>
        <v>481.6</v>
      </c>
      <c r="I10" s="31">
        <f>'Timing calculations'!C44</f>
        <v>592</v>
      </c>
      <c r="J10" s="24"/>
      <c r="K10" s="28" t="s">
        <v>76</v>
      </c>
      <c r="M10" s="27"/>
    </row>
    <row r="11" spans="1:13" ht="12.8" x14ac:dyDescent="0.2">
      <c r="A11" s="22" t="s">
        <v>82</v>
      </c>
      <c r="B11" s="22" t="s">
        <v>3</v>
      </c>
      <c r="C11" s="32">
        <v>0.08</v>
      </c>
      <c r="D11" s="33">
        <v>0.1</v>
      </c>
      <c r="E11" s="32">
        <v>0.12</v>
      </c>
      <c r="F11" s="23"/>
      <c r="G11" s="32">
        <f>+C11*$B$73</f>
        <v>5.3600000000000002E-2</v>
      </c>
      <c r="H11" s="32">
        <f>+D11*$B$73</f>
        <v>6.7000000000000004E-2</v>
      </c>
      <c r="I11" s="32">
        <f>+E11*$B$73</f>
        <v>8.0399999999999999E-2</v>
      </c>
      <c r="J11" s="24"/>
      <c r="K11" s="77" t="s">
        <v>98</v>
      </c>
      <c r="M11" s="34"/>
    </row>
    <row r="12" spans="1:13" ht="12.8" x14ac:dyDescent="0.2">
      <c r="A12" s="22" t="s">
        <v>2</v>
      </c>
      <c r="B12" s="22" t="s">
        <v>33</v>
      </c>
      <c r="C12" s="35">
        <f>D12</f>
        <v>0.7</v>
      </c>
      <c r="D12" s="36">
        <v>0.7</v>
      </c>
      <c r="E12" s="35">
        <f>D12</f>
        <v>0.7</v>
      </c>
      <c r="F12" s="23"/>
      <c r="G12" s="37">
        <f>H12</f>
        <v>0.7</v>
      </c>
      <c r="H12" s="38">
        <v>0.7</v>
      </c>
      <c r="I12" s="37">
        <f>H12</f>
        <v>0.7</v>
      </c>
      <c r="J12" s="24"/>
      <c r="K12" s="28" t="s">
        <v>59</v>
      </c>
      <c r="M12" s="27"/>
    </row>
    <row r="13" spans="1:13" ht="12.8" x14ac:dyDescent="0.2">
      <c r="A13" s="22" t="s">
        <v>4</v>
      </c>
      <c r="B13" s="22" t="s">
        <v>5</v>
      </c>
      <c r="C13" s="35">
        <v>1</v>
      </c>
      <c r="D13" s="36">
        <v>1.2</v>
      </c>
      <c r="E13" s="35">
        <v>1.4</v>
      </c>
      <c r="F13" s="23"/>
      <c r="G13" s="21">
        <v>1</v>
      </c>
      <c r="H13" s="39">
        <v>1.2</v>
      </c>
      <c r="I13" s="21">
        <v>1.4</v>
      </c>
      <c r="J13" s="24"/>
      <c r="K13" s="28" t="s">
        <v>66</v>
      </c>
      <c r="M13" s="27"/>
    </row>
    <row r="14" spans="1:13" ht="12.8" x14ac:dyDescent="0.2">
      <c r="A14" s="22" t="s">
        <v>34</v>
      </c>
      <c r="B14" s="22" t="s">
        <v>1</v>
      </c>
      <c r="C14" s="40">
        <f>+C10*C11*C12</f>
        <v>21.84</v>
      </c>
      <c r="D14" s="40">
        <f>D10*D11*D12</f>
        <v>33.712000000000003</v>
      </c>
      <c r="E14" s="40">
        <f>E10*E11*E12</f>
        <v>49.727999999999994</v>
      </c>
      <c r="F14" s="23"/>
      <c r="G14" s="40">
        <f>+G10*G11*G12</f>
        <v>14.6328</v>
      </c>
      <c r="H14" s="40">
        <f>H10*H11*H12</f>
        <v>22.587040000000002</v>
      </c>
      <c r="I14" s="40">
        <f>I10*I11*I12</f>
        <v>33.31776</v>
      </c>
      <c r="J14" s="24"/>
      <c r="M14" s="27"/>
    </row>
    <row r="15" spans="1:13" ht="12.8" x14ac:dyDescent="0.2">
      <c r="A15" s="22" t="s">
        <v>17</v>
      </c>
      <c r="C15" s="41">
        <f>+C14/'Timing calculations'!G$4</f>
        <v>3.165217391304348E-3</v>
      </c>
      <c r="D15" s="41">
        <f>+D14/'Timing calculations'!H$4</f>
        <v>4.8857971014492759E-3</v>
      </c>
      <c r="E15" s="41">
        <f>+E14/'Timing calculations'!I$4</f>
        <v>7.2069565217391298E-3</v>
      </c>
      <c r="F15" s="23"/>
      <c r="G15" s="41">
        <f>+G14/'Timing calculations'!C$4</f>
        <v>2.1206956521739131E-3</v>
      </c>
      <c r="H15" s="41">
        <f>+H14/'Timing calculations'!D$4</f>
        <v>3.2734840579710148E-3</v>
      </c>
      <c r="I15" s="41">
        <f>+I14/'Timing calculations'!E$4</f>
        <v>4.828660869565217E-3</v>
      </c>
      <c r="J15" s="24"/>
      <c r="K15" s="28" t="s">
        <v>28</v>
      </c>
      <c r="M15" s="27"/>
    </row>
    <row r="16" spans="1:13" ht="12.8" x14ac:dyDescent="0.2">
      <c r="A16" s="22" t="s">
        <v>23</v>
      </c>
      <c r="B16" s="22" t="s">
        <v>0</v>
      </c>
      <c r="C16" s="40">
        <f>+C14*C13</f>
        <v>21.84</v>
      </c>
      <c r="D16" s="40">
        <f>+D14*D13</f>
        <v>40.4544</v>
      </c>
      <c r="E16" s="40">
        <f>+E14*E13</f>
        <v>69.619199999999992</v>
      </c>
      <c r="F16" s="23"/>
      <c r="G16" s="40">
        <f>+G14*G13</f>
        <v>14.6328</v>
      </c>
      <c r="H16" s="40">
        <f>+H14*H13</f>
        <v>27.104448000000001</v>
      </c>
      <c r="I16" s="40">
        <f>+I14*I13</f>
        <v>46.644863999999998</v>
      </c>
      <c r="J16" s="24"/>
      <c r="M16" s="27"/>
    </row>
    <row r="17" spans="1:13" ht="12.8" x14ac:dyDescent="0.2">
      <c r="D17" s="42"/>
      <c r="F17" s="23"/>
      <c r="H17" s="42"/>
      <c r="J17" s="24"/>
      <c r="M17" s="27"/>
    </row>
    <row r="18" spans="1:13" ht="12.8" x14ac:dyDescent="0.2">
      <c r="A18" s="28" t="s">
        <v>22</v>
      </c>
      <c r="D18" s="42"/>
      <c r="F18" s="23"/>
      <c r="H18" s="42"/>
      <c r="J18" s="24"/>
      <c r="M18" s="27"/>
    </row>
    <row r="19" spans="1:13" ht="12.8" x14ac:dyDescent="0.2">
      <c r="A19" s="22" t="s">
        <v>18</v>
      </c>
      <c r="B19" s="22" t="s">
        <v>11</v>
      </c>
      <c r="C19" s="43">
        <f>D19</f>
        <v>250</v>
      </c>
      <c r="D19" s="44">
        <v>250</v>
      </c>
      <c r="E19" s="43">
        <f>D19</f>
        <v>250</v>
      </c>
      <c r="F19" s="23"/>
      <c r="G19" s="43">
        <f>H19</f>
        <v>250</v>
      </c>
      <c r="H19" s="44">
        <v>250</v>
      </c>
      <c r="I19" s="43">
        <f>H19</f>
        <v>250</v>
      </c>
      <c r="J19" s="24"/>
      <c r="K19" s="28" t="s">
        <v>58</v>
      </c>
      <c r="M19" s="27"/>
    </row>
    <row r="20" spans="1:13" ht="12.8" x14ac:dyDescent="0.2">
      <c r="A20" s="22" t="s">
        <v>13</v>
      </c>
      <c r="B20" s="22" t="s">
        <v>39</v>
      </c>
      <c r="C20" s="21">
        <f>+D20</f>
        <v>90</v>
      </c>
      <c r="D20" s="21">
        <v>90</v>
      </c>
      <c r="E20" s="21">
        <v>90</v>
      </c>
      <c r="F20" s="23"/>
      <c r="G20" s="21">
        <v>90</v>
      </c>
      <c r="H20" s="21">
        <v>90</v>
      </c>
      <c r="I20" s="21">
        <v>90</v>
      </c>
      <c r="J20" s="24"/>
      <c r="K20" s="28" t="s">
        <v>25</v>
      </c>
      <c r="M20" s="27"/>
    </row>
    <row r="21" spans="1:13" ht="12.8" x14ac:dyDescent="0.2">
      <c r="A21" s="22" t="s">
        <v>19</v>
      </c>
      <c r="C21" s="45">
        <f>+C20/8760</f>
        <v>1.0273972602739725E-2</v>
      </c>
      <c r="D21" s="45">
        <f>+D20/8760</f>
        <v>1.0273972602739725E-2</v>
      </c>
      <c r="E21" s="45">
        <f>+E20/8760</f>
        <v>1.0273972602739725E-2</v>
      </c>
      <c r="F21" s="23"/>
      <c r="G21" s="45">
        <f>+G20/8760</f>
        <v>1.0273972602739725E-2</v>
      </c>
      <c r="H21" s="45">
        <f>+H20/8760</f>
        <v>1.0273972602739725E-2</v>
      </c>
      <c r="I21" s="45">
        <f>+I20/8760</f>
        <v>1.0273972602739725E-2</v>
      </c>
      <c r="J21" s="24"/>
      <c r="K21" s="28"/>
      <c r="M21" s="27"/>
    </row>
    <row r="22" spans="1:13" ht="12.8" x14ac:dyDescent="0.2">
      <c r="A22" s="22" t="s">
        <v>20</v>
      </c>
      <c r="B22" s="22" t="s">
        <v>12</v>
      </c>
      <c r="C22" s="46">
        <f>-C19*C20*C14/1000000</f>
        <v>-0.4914</v>
      </c>
      <c r="D22" s="46">
        <f>-D19*D20*D14/1000000</f>
        <v>-0.75852000000000008</v>
      </c>
      <c r="E22" s="46">
        <f>-E19*E20*E14/1000000</f>
        <v>-1.1188799999999999</v>
      </c>
      <c r="F22" s="23"/>
      <c r="G22" s="46">
        <f>-G19*G20*G14/1000000</f>
        <v>-0.32923799999999998</v>
      </c>
      <c r="H22" s="46">
        <f>-H19*H20*H14/1000000</f>
        <v>-0.5082084</v>
      </c>
      <c r="I22" s="46">
        <f>-I19*I20*I14/1000000</f>
        <v>-0.74964960000000003</v>
      </c>
      <c r="J22" s="24"/>
      <c r="M22" s="47"/>
    </row>
    <row r="23" spans="1:13" ht="12.8" x14ac:dyDescent="0.2">
      <c r="A23" s="22" t="s">
        <v>111</v>
      </c>
      <c r="B23" s="22" t="s">
        <v>0</v>
      </c>
      <c r="C23" s="48">
        <f>-PV('Global assumptions'!C$4,'Global assumptions'!C$5,C22)</f>
        <v>-4.2061278272470206</v>
      </c>
      <c r="D23" s="48">
        <f>-PV('Global assumptions'!D$4,'Global assumptions'!D$5,D22)</f>
        <v>-7.3669351021813005</v>
      </c>
      <c r="E23" s="48">
        <f>-PV('Global assumptions'!E$4,'Global assumptions'!E$5,E22)</f>
        <v>-12.440141330104275</v>
      </c>
      <c r="F23" s="23"/>
      <c r="G23" s="47">
        <f>-PV('Global assumptions'!C$4,'Global assumptions'!C$5,G22)</f>
        <v>-2.8181056442555037</v>
      </c>
      <c r="H23" s="47">
        <f>-PV('Global assumptions'!D$4,'Global assumptions'!D$5,H22)</f>
        <v>-4.9358465184614699</v>
      </c>
      <c r="I23" s="47">
        <f>-PV('Global assumptions'!E$4,'Global assumptions'!E$5,I22)</f>
        <v>-8.3348946911698665</v>
      </c>
      <c r="J23" s="24"/>
      <c r="M23" s="47"/>
    </row>
    <row r="24" spans="1:13" ht="12.8" x14ac:dyDescent="0.2">
      <c r="F24" s="23"/>
      <c r="J24" s="24"/>
      <c r="M24" s="42"/>
    </row>
    <row r="25" spans="1:13" ht="12.8" x14ac:dyDescent="0.2">
      <c r="A25" s="22" t="s">
        <v>97</v>
      </c>
      <c r="B25" s="22" t="s">
        <v>0</v>
      </c>
      <c r="C25" s="48">
        <f>+C16+C23</f>
        <v>17.63387217275298</v>
      </c>
      <c r="D25" s="48">
        <f>+D16+D23</f>
        <v>33.087464897818698</v>
      </c>
      <c r="E25" s="48">
        <f>+E16+E23</f>
        <v>57.179058669895717</v>
      </c>
      <c r="F25" s="23"/>
      <c r="G25" s="48">
        <f>+G16+G23</f>
        <v>11.814694355744496</v>
      </c>
      <c r="H25" s="48">
        <f>+H16+H23</f>
        <v>22.168601481538531</v>
      </c>
      <c r="I25" s="48">
        <f>+I16+I23</f>
        <v>38.309969308830134</v>
      </c>
      <c r="J25" s="24"/>
      <c r="M25" s="27"/>
    </row>
    <row r="26" spans="1:13" ht="12.8" x14ac:dyDescent="0.2">
      <c r="A26" s="22" t="s">
        <v>6</v>
      </c>
      <c r="B26" s="22" t="s">
        <v>7</v>
      </c>
      <c r="C26" s="21">
        <v>0</v>
      </c>
      <c r="D26" s="39">
        <v>0</v>
      </c>
      <c r="E26" s="21">
        <v>0</v>
      </c>
      <c r="F26" s="23"/>
      <c r="G26" s="21">
        <v>0</v>
      </c>
      <c r="H26" s="39">
        <v>0</v>
      </c>
      <c r="I26" s="21">
        <v>0</v>
      </c>
      <c r="J26" s="24"/>
      <c r="K26" s="28" t="s">
        <v>80</v>
      </c>
      <c r="M26" s="27"/>
    </row>
    <row r="27" spans="1:13" ht="12.8" x14ac:dyDescent="0.2">
      <c r="A27" s="22" t="s">
        <v>24</v>
      </c>
      <c r="C27" s="47">
        <f>+(1+'Global assumptions'!$C$4)^C26</f>
        <v>1</v>
      </c>
      <c r="D27" s="47">
        <f>+(1+'Global assumptions'!$D$4)^D26</f>
        <v>1</v>
      </c>
      <c r="E27" s="47">
        <f>+(1+'Global assumptions'!$E$4)^E26</f>
        <v>1</v>
      </c>
      <c r="F27" s="23"/>
      <c r="G27" s="47">
        <f>+(1+'Global assumptions'!$C$4)^G26</f>
        <v>1</v>
      </c>
      <c r="H27" s="47">
        <f>+(1+'Global assumptions'!$D$4)^H26</f>
        <v>1</v>
      </c>
      <c r="I27" s="47">
        <f>+(1+'Global assumptions'!$E$4)^I26</f>
        <v>1</v>
      </c>
      <c r="J27" s="24"/>
      <c r="M27" s="27"/>
    </row>
    <row r="28" spans="1:13" ht="12.8" x14ac:dyDescent="0.2">
      <c r="A28" s="22" t="s">
        <v>8</v>
      </c>
      <c r="B28" s="22" t="s">
        <v>0</v>
      </c>
      <c r="C28" s="40">
        <f>+C25/C27</f>
        <v>17.63387217275298</v>
      </c>
      <c r="D28" s="40">
        <f>+D25/D27</f>
        <v>33.087464897818698</v>
      </c>
      <c r="E28" s="40">
        <f>+E25/E27</f>
        <v>57.179058669895717</v>
      </c>
      <c r="F28" s="23"/>
      <c r="G28" s="40">
        <f>+G25/G27</f>
        <v>11.814694355744496</v>
      </c>
      <c r="H28" s="40">
        <f>+H25/H27</f>
        <v>22.168601481538531</v>
      </c>
      <c r="I28" s="40">
        <f>+I25/I27</f>
        <v>38.309969308830134</v>
      </c>
      <c r="J28" s="24"/>
      <c r="M28" s="27"/>
    </row>
    <row r="29" spans="1:13" ht="12.8" x14ac:dyDescent="0.2">
      <c r="F29" s="23"/>
      <c r="J29" s="24"/>
      <c r="M29" s="42"/>
    </row>
    <row r="30" spans="1:13" ht="12.8" x14ac:dyDescent="0.2">
      <c r="A30" s="24" t="s">
        <v>30</v>
      </c>
      <c r="D30" s="27"/>
      <c r="F30" s="23"/>
      <c r="H30" s="27"/>
      <c r="J30" s="24"/>
      <c r="M30" s="27"/>
    </row>
    <row r="31" spans="1:13" ht="12.8" x14ac:dyDescent="0.2">
      <c r="A31" s="22" t="s">
        <v>99</v>
      </c>
      <c r="D31" s="27"/>
      <c r="F31" s="23"/>
      <c r="H31" s="27"/>
      <c r="J31" s="24"/>
      <c r="M31" s="27"/>
    </row>
    <row r="32" spans="1:13" ht="12.8" x14ac:dyDescent="0.2">
      <c r="A32" s="22" t="s">
        <v>35</v>
      </c>
      <c r="B32" s="22" t="s">
        <v>3</v>
      </c>
      <c r="C32" s="49">
        <v>5.0000000000000001E-3</v>
      </c>
      <c r="D32" s="49">
        <v>0.01</v>
      </c>
      <c r="E32" s="49">
        <v>1.4999999999999999E-2</v>
      </c>
      <c r="F32" s="23"/>
      <c r="G32" s="49">
        <f>+C32*$B$73</f>
        <v>3.3500000000000001E-3</v>
      </c>
      <c r="H32" s="49">
        <f>+D32*$B$73</f>
        <v>6.7000000000000002E-3</v>
      </c>
      <c r="I32" s="49">
        <f>+E32*$B$73</f>
        <v>1.005E-2</v>
      </c>
      <c r="J32" s="24"/>
      <c r="K32" s="28" t="s">
        <v>62</v>
      </c>
      <c r="M32" s="27"/>
    </row>
    <row r="33" spans="1:13" ht="12.8" x14ac:dyDescent="0.2">
      <c r="A33" s="22" t="s">
        <v>36</v>
      </c>
      <c r="B33" s="22" t="s">
        <v>1</v>
      </c>
      <c r="C33" s="50">
        <f>+C32*'Timing calculations'!$C$14</f>
        <v>16.206666666666667</v>
      </c>
      <c r="D33" s="50">
        <f>+D32*'Timing calculations'!$C$29</f>
        <v>36.991448904944548</v>
      </c>
      <c r="E33" s="50">
        <f>+E32*'Timing calculations'!$C$43</f>
        <v>65.667932408467024</v>
      </c>
      <c r="F33" s="23"/>
      <c r="G33" s="50">
        <f>+G32*'Timing calculations'!$C$14</f>
        <v>10.858466666666667</v>
      </c>
      <c r="H33" s="50">
        <f>+H32*'Timing calculations'!$C$29</f>
        <v>24.784270766312851</v>
      </c>
      <c r="I33" s="50">
        <f>+I32*'Timing calculations'!$C$43</f>
        <v>43.997514713672906</v>
      </c>
      <c r="J33" s="24"/>
      <c r="M33" s="27"/>
    </row>
    <row r="34" spans="1:13" ht="16.7" customHeight="1" x14ac:dyDescent="0.2">
      <c r="A34" s="22" t="s">
        <v>37</v>
      </c>
      <c r="B34" s="22" t="s">
        <v>0</v>
      </c>
      <c r="C34" s="40">
        <f>+C33*C13</f>
        <v>16.206666666666667</v>
      </c>
      <c r="D34" s="40">
        <f>+D33*D13</f>
        <v>44.389738685933459</v>
      </c>
      <c r="E34" s="40">
        <f>+E33*E13</f>
        <v>91.935105371853822</v>
      </c>
      <c r="F34" s="23"/>
      <c r="G34" s="51">
        <f>+G33*G13</f>
        <v>10.858466666666667</v>
      </c>
      <c r="H34" s="51">
        <f>+H33*H13</f>
        <v>29.741124919575419</v>
      </c>
      <c r="I34" s="51">
        <f>+I33*I13</f>
        <v>61.596520599142067</v>
      </c>
      <c r="J34" s="24"/>
      <c r="M34" s="27"/>
    </row>
    <row r="35" spans="1:13" ht="16.7" customHeight="1" x14ac:dyDescent="0.2">
      <c r="C35" s="40"/>
      <c r="D35" s="40"/>
      <c r="E35" s="40"/>
      <c r="F35" s="23"/>
      <c r="G35" s="51"/>
      <c r="H35" s="51"/>
      <c r="I35" s="51"/>
      <c r="J35" s="24"/>
      <c r="M35" s="27"/>
    </row>
    <row r="36" spans="1:13" ht="16.7" customHeight="1" x14ac:dyDescent="0.2">
      <c r="A36" s="28" t="s">
        <v>22</v>
      </c>
      <c r="C36" s="40"/>
      <c r="D36" s="40"/>
      <c r="E36" s="40"/>
      <c r="F36" s="23"/>
      <c r="G36" s="51"/>
      <c r="H36" s="51"/>
      <c r="I36" s="51"/>
      <c r="J36" s="24"/>
      <c r="M36" s="27"/>
    </row>
    <row r="37" spans="1:13" ht="12.8" x14ac:dyDescent="0.2">
      <c r="A37" s="22" t="s">
        <v>18</v>
      </c>
      <c r="B37" s="22" t="s">
        <v>11</v>
      </c>
      <c r="C37" s="43">
        <f>D37</f>
        <v>500</v>
      </c>
      <c r="D37" s="44">
        <f>+D19*2</f>
        <v>500</v>
      </c>
      <c r="E37" s="43">
        <f>D37</f>
        <v>500</v>
      </c>
      <c r="F37" s="23"/>
      <c r="G37" s="43">
        <f>H37</f>
        <v>500</v>
      </c>
      <c r="H37" s="44">
        <f>+H19*2</f>
        <v>500</v>
      </c>
      <c r="I37" s="43">
        <f>H37</f>
        <v>500</v>
      </c>
      <c r="J37" s="24"/>
      <c r="K37" s="28" t="s">
        <v>54</v>
      </c>
      <c r="M37" s="27"/>
    </row>
    <row r="38" spans="1:13" ht="12.8" x14ac:dyDescent="0.2">
      <c r="A38" s="22" t="s">
        <v>13</v>
      </c>
      <c r="B38" s="22" t="s">
        <v>39</v>
      </c>
      <c r="C38" s="44">
        <v>90</v>
      </c>
      <c r="D38" s="44">
        <v>90</v>
      </c>
      <c r="E38" s="44">
        <v>90</v>
      </c>
      <c r="F38" s="23"/>
      <c r="G38" s="44">
        <v>90</v>
      </c>
      <c r="H38" s="44">
        <v>90</v>
      </c>
      <c r="I38" s="44">
        <v>90</v>
      </c>
      <c r="J38" s="24"/>
      <c r="K38" s="28" t="s">
        <v>55</v>
      </c>
      <c r="M38" s="27"/>
    </row>
    <row r="39" spans="1:13" ht="12.8" x14ac:dyDescent="0.2">
      <c r="A39" s="22" t="s">
        <v>19</v>
      </c>
      <c r="C39" s="45">
        <f>+C38/8760</f>
        <v>1.0273972602739725E-2</v>
      </c>
      <c r="D39" s="45">
        <f>+D38/8760</f>
        <v>1.0273972602739725E-2</v>
      </c>
      <c r="E39" s="45">
        <f>+E38/8760</f>
        <v>1.0273972602739725E-2</v>
      </c>
      <c r="F39" s="23"/>
      <c r="G39" s="45">
        <f>+G38/8760</f>
        <v>1.0273972602739725E-2</v>
      </c>
      <c r="H39" s="45">
        <f>+H38/8760</f>
        <v>1.0273972602739725E-2</v>
      </c>
      <c r="I39" s="45">
        <f>+I38/8760</f>
        <v>1.0273972602739725E-2</v>
      </c>
      <c r="J39" s="24"/>
      <c r="K39" s="28"/>
      <c r="M39" s="27"/>
    </row>
    <row r="40" spans="1:13" ht="12.8" x14ac:dyDescent="0.2">
      <c r="A40" s="22" t="s">
        <v>20</v>
      </c>
      <c r="B40" s="22" t="s">
        <v>12</v>
      </c>
      <c r="C40" s="46">
        <f>-C37*C38*C33/1000000</f>
        <v>-0.72929999999999995</v>
      </c>
      <c r="D40" s="46">
        <f>-D37*D38*D33/1000000</f>
        <v>-1.6646152007225046</v>
      </c>
      <c r="E40" s="46">
        <f>-E37*E38*E33/1000000</f>
        <v>-2.9550569583810162</v>
      </c>
      <c r="F40" s="23"/>
      <c r="G40" s="46">
        <f>-G37*G38*G33/1000000</f>
        <v>-0.48863099999999998</v>
      </c>
      <c r="H40" s="46">
        <f>-H37*H38*H33/1000000</f>
        <v>-1.1152921844840784</v>
      </c>
      <c r="I40" s="46">
        <f>-I37*I38*I33/1000000</f>
        <v>-1.9798881621152808</v>
      </c>
      <c r="J40" s="24"/>
      <c r="M40" s="27"/>
    </row>
    <row r="41" spans="1:13" ht="12.8" x14ac:dyDescent="0.2">
      <c r="A41" s="22" t="s">
        <v>111</v>
      </c>
      <c r="B41" s="22" t="s">
        <v>0</v>
      </c>
      <c r="C41" s="47">
        <f>-PV('Global assumptions'!C4,'Global assumptions'!C5,C40)</f>
        <v>-6.242427807104705</v>
      </c>
      <c r="D41" s="47">
        <f>-PV('Global assumptions'!D4,'Global assumptions'!D5,D40)</f>
        <v>-16.16715729819542</v>
      </c>
      <c r="E41" s="47">
        <f>-PV('Global assumptions'!E4,'Global assumptions'!E5,E40)</f>
        <v>-32.855468147404473</v>
      </c>
      <c r="F41" s="23"/>
      <c r="G41" s="47">
        <f>-PV('Global assumptions'!C4,'Global assumptions'!C5,G40)</f>
        <v>-4.1824266307601521</v>
      </c>
      <c r="H41" s="47">
        <f>-PV('Global assumptions'!D4,'Global assumptions'!D5,H40)</f>
        <v>-10.831995389790933</v>
      </c>
      <c r="I41" s="47">
        <f>-PV('Global assumptions'!E4,'Global assumptions'!E5,I40)</f>
        <v>-22.013163658760995</v>
      </c>
      <c r="J41" s="24"/>
      <c r="M41" s="27"/>
    </row>
    <row r="42" spans="1:13" ht="12.8" x14ac:dyDescent="0.2">
      <c r="C42" s="47"/>
      <c r="D42" s="47"/>
      <c r="E42" s="47"/>
      <c r="F42" s="23"/>
      <c r="G42" s="47"/>
      <c r="H42" s="47"/>
      <c r="I42" s="47"/>
      <c r="J42" s="24"/>
      <c r="M42" s="27"/>
    </row>
    <row r="43" spans="1:13" ht="12.8" x14ac:dyDescent="0.2">
      <c r="A43" s="22" t="s">
        <v>110</v>
      </c>
      <c r="B43" s="22" t="s">
        <v>7</v>
      </c>
      <c r="C43" s="21">
        <v>10</v>
      </c>
      <c r="D43" s="39">
        <v>5</v>
      </c>
      <c r="E43" s="21">
        <v>2</v>
      </c>
      <c r="F43" s="23"/>
      <c r="G43" s="21">
        <f>+C43</f>
        <v>10</v>
      </c>
      <c r="H43" s="21">
        <f t="shared" ref="H43:I43" si="0">+D43</f>
        <v>5</v>
      </c>
      <c r="I43" s="21">
        <f t="shared" si="0"/>
        <v>2</v>
      </c>
      <c r="J43" s="24"/>
      <c r="M43" s="27"/>
    </row>
    <row r="44" spans="1:13" ht="12.8" x14ac:dyDescent="0.2">
      <c r="A44" s="22" t="s">
        <v>24</v>
      </c>
      <c r="C44" s="47">
        <f>+(1+'Global assumptions'!$C$4)^C43</f>
        <v>2.1589249972727877</v>
      </c>
      <c r="D44" s="47">
        <f>+(1+'Global assumptions'!$D$4)^D43</f>
        <v>1.3382255776000005</v>
      </c>
      <c r="E44" s="47">
        <f>+(1+'Global assumptions'!$E$4)^E43</f>
        <v>1.0816000000000001</v>
      </c>
      <c r="F44" s="23"/>
      <c r="G44" s="47">
        <f>+(1+'Global assumptions'!$C$4)^G43</f>
        <v>2.1589249972727877</v>
      </c>
      <c r="H44" s="47">
        <f>+(1+'Global assumptions'!$D$4)^H43</f>
        <v>1.3382255776000005</v>
      </c>
      <c r="I44" s="47">
        <f>+(1+'Global assumptions'!$E$4)^I43</f>
        <v>1.0816000000000001</v>
      </c>
      <c r="J44" s="24"/>
      <c r="M44" s="27"/>
    </row>
    <row r="45" spans="1:13" ht="12.8" x14ac:dyDescent="0.2">
      <c r="C45" s="40"/>
      <c r="D45" s="40"/>
      <c r="E45" s="40"/>
      <c r="F45" s="23"/>
      <c r="G45" s="40"/>
      <c r="H45" s="40"/>
      <c r="I45" s="40"/>
      <c r="J45" s="24"/>
      <c r="M45" s="27"/>
    </row>
    <row r="46" spans="1:13" ht="12.8" x14ac:dyDescent="0.2">
      <c r="A46" s="22" t="s">
        <v>40</v>
      </c>
      <c r="B46" s="22" t="s">
        <v>0</v>
      </c>
      <c r="C46" s="40">
        <f>+(C34+C41)/C44</f>
        <v>4.6153705534694618</v>
      </c>
      <c r="D46" s="40">
        <f>+(D34+D41)/D44</f>
        <v>21.089554601364711</v>
      </c>
      <c r="E46" s="40">
        <f>+(E34+E41)/E44</f>
        <v>54.622445658699469</v>
      </c>
      <c r="F46" s="23"/>
      <c r="G46" s="40">
        <f>+(G34+G41)/G44</f>
        <v>3.0922982708245392</v>
      </c>
      <c r="H46" s="40">
        <f>+(H34+H41)/H44</f>
        <v>14.130001582914357</v>
      </c>
      <c r="I46" s="40">
        <f>+(I34+I41)/I44</f>
        <v>36.597038591328648</v>
      </c>
      <c r="J46" s="24"/>
      <c r="M46" s="27"/>
    </row>
    <row r="47" spans="1:13" ht="12.8" x14ac:dyDescent="0.2">
      <c r="D47" s="27"/>
      <c r="F47" s="23"/>
      <c r="H47" s="27"/>
      <c r="J47" s="24"/>
      <c r="M47" s="27"/>
    </row>
    <row r="48" spans="1:13" ht="12.8" x14ac:dyDescent="0.2">
      <c r="A48" s="24" t="s">
        <v>44</v>
      </c>
      <c r="D48" s="27"/>
      <c r="F48" s="23"/>
      <c r="H48" s="27"/>
      <c r="J48" s="24"/>
      <c r="M48" s="27"/>
    </row>
    <row r="49" spans="1:14" ht="12.8" x14ac:dyDescent="0.2">
      <c r="A49" s="22" t="s">
        <v>46</v>
      </c>
      <c r="D49" s="27"/>
      <c r="F49" s="23"/>
      <c r="H49" s="27"/>
      <c r="J49" s="24"/>
      <c r="M49" s="27"/>
    </row>
    <row r="50" spans="1:14" ht="12.8" x14ac:dyDescent="0.2">
      <c r="A50" s="22" t="s">
        <v>47</v>
      </c>
      <c r="B50" s="34" t="s">
        <v>1</v>
      </c>
      <c r="C50" s="21">
        <v>0</v>
      </c>
      <c r="D50" s="21">
        <v>50</v>
      </c>
      <c r="E50" s="21">
        <v>75</v>
      </c>
      <c r="F50" s="23"/>
      <c r="G50" s="21"/>
      <c r="H50" s="21"/>
      <c r="I50" s="21"/>
      <c r="J50" s="24"/>
      <c r="K50" s="28" t="s">
        <v>79</v>
      </c>
      <c r="M50" s="27"/>
    </row>
    <row r="51" spans="1:14" ht="12.8" x14ac:dyDescent="0.2">
      <c r="A51" s="22" t="s">
        <v>48</v>
      </c>
      <c r="C51" s="52">
        <f>+C50/'Timing calculations'!$C$13</f>
        <v>0</v>
      </c>
      <c r="D51" s="52">
        <f>+D50/'Timing calculations'!$C$28</f>
        <v>7.3264092317670048E-3</v>
      </c>
      <c r="E51" s="52">
        <f>+E50/'Timing calculations'!$C$42</f>
        <v>9.2858505868996834E-3</v>
      </c>
      <c r="F51" s="23"/>
      <c r="G51" s="52"/>
      <c r="H51" s="52"/>
      <c r="I51" s="52"/>
      <c r="J51" s="24"/>
      <c r="K51" s="28" t="s">
        <v>28</v>
      </c>
      <c r="M51" s="27"/>
    </row>
    <row r="52" spans="1:14" ht="12.8" x14ac:dyDescent="0.2">
      <c r="A52" s="22" t="s">
        <v>53</v>
      </c>
      <c r="B52" s="22" t="s">
        <v>10</v>
      </c>
      <c r="C52" s="21">
        <f>C50*0.02</f>
        <v>0</v>
      </c>
      <c r="D52" s="21">
        <f t="shared" ref="D52" si="1">D50*0.02</f>
        <v>1</v>
      </c>
      <c r="E52" s="21">
        <v>2</v>
      </c>
      <c r="F52" s="23"/>
      <c r="G52" s="21">
        <v>0</v>
      </c>
      <c r="H52" s="21">
        <v>0</v>
      </c>
      <c r="I52" s="21">
        <f>I50*0.01</f>
        <v>0</v>
      </c>
      <c r="J52" s="24"/>
      <c r="K52" s="53" t="s">
        <v>49</v>
      </c>
      <c r="M52" s="27"/>
      <c r="N52" s="22" t="s">
        <v>50</v>
      </c>
    </row>
    <row r="53" spans="1:14" ht="12.8" x14ac:dyDescent="0.2">
      <c r="A53" s="22" t="s">
        <v>78</v>
      </c>
      <c r="B53" s="22" t="s">
        <v>0</v>
      </c>
      <c r="C53" s="54">
        <f>PV('Global assumptions'!C$4,'Global assumptions'!C$5,-C52)</f>
        <v>0</v>
      </c>
      <c r="D53" s="54">
        <f>PV('Global assumptions'!D$4,'Global assumptions'!D$5,-D52)</f>
        <v>9.7122489877409954</v>
      </c>
      <c r="E53" s="54">
        <f>PV('Global assumptions'!E$4,'Global assumptions'!E$5,-E52)</f>
        <v>22.236774864336258</v>
      </c>
      <c r="F53" s="23"/>
      <c r="G53" s="54">
        <f>+C53*$B$73</f>
        <v>0</v>
      </c>
      <c r="H53" s="54">
        <f>+D53*$B$73</f>
        <v>6.5072068217864674</v>
      </c>
      <c r="I53" s="54">
        <f>+E53*$B$73</f>
        <v>14.898639159105294</v>
      </c>
      <c r="J53" s="24"/>
      <c r="M53" s="27"/>
    </row>
    <row r="54" spans="1:14" ht="13.6" thickBot="1" x14ac:dyDescent="0.25">
      <c r="D54" s="27"/>
      <c r="F54" s="23"/>
      <c r="H54" s="27"/>
      <c r="J54" s="24"/>
      <c r="M54" s="27"/>
    </row>
    <row r="55" spans="1:14" ht="15.75" customHeight="1" thickBot="1" x14ac:dyDescent="0.25">
      <c r="C55" s="83" t="s">
        <v>100</v>
      </c>
      <c r="D55" s="84"/>
      <c r="E55" s="85"/>
      <c r="F55" s="23"/>
      <c r="G55" s="83" t="s">
        <v>101</v>
      </c>
      <c r="H55" s="84"/>
      <c r="I55" s="85"/>
      <c r="J55" s="24"/>
      <c r="M55" s="27"/>
    </row>
    <row r="56" spans="1:14" ht="15.75" customHeight="1" x14ac:dyDescent="0.25">
      <c r="A56" s="78" t="s">
        <v>60</v>
      </c>
      <c r="B56" s="55"/>
      <c r="C56" s="80" t="s">
        <v>41</v>
      </c>
      <c r="D56" s="80" t="s">
        <v>16</v>
      </c>
      <c r="E56" s="80" t="s">
        <v>42</v>
      </c>
      <c r="F56" s="23"/>
      <c r="G56" s="80" t="s">
        <v>41</v>
      </c>
      <c r="H56" s="80" t="s">
        <v>16</v>
      </c>
      <c r="I56" s="80" t="s">
        <v>42</v>
      </c>
      <c r="J56" s="24"/>
      <c r="N56" s="27"/>
    </row>
    <row r="57" spans="1:14" ht="15.9" customHeight="1" thickBot="1" x14ac:dyDescent="0.3">
      <c r="A57" s="79"/>
      <c r="B57" s="56"/>
      <c r="C57" s="81"/>
      <c r="D57" s="81"/>
      <c r="E57" s="81"/>
      <c r="F57" s="23"/>
      <c r="G57" s="81"/>
      <c r="H57" s="81"/>
      <c r="I57" s="81"/>
      <c r="J57" s="24"/>
      <c r="N57" s="27"/>
    </row>
    <row r="58" spans="1:14" ht="15.9" customHeight="1" thickTop="1" thickBot="1" x14ac:dyDescent="0.25">
      <c r="A58" s="73" t="s">
        <v>103</v>
      </c>
      <c r="B58" s="71"/>
      <c r="C58" s="72"/>
      <c r="D58" s="72"/>
      <c r="E58" s="72"/>
      <c r="F58" s="23"/>
      <c r="G58" s="72"/>
      <c r="H58" s="72"/>
      <c r="I58" s="72"/>
      <c r="J58" s="24"/>
      <c r="N58" s="27"/>
    </row>
    <row r="59" spans="1:14" ht="13.6" thickBot="1" x14ac:dyDescent="0.25">
      <c r="A59" s="60" t="s">
        <v>51</v>
      </c>
      <c r="B59" s="60"/>
      <c r="C59" s="61">
        <f>+C28</f>
        <v>17.63387217275298</v>
      </c>
      <c r="D59" s="61">
        <f>+D28</f>
        <v>33.087464897818698</v>
      </c>
      <c r="E59" s="61">
        <f>+E28</f>
        <v>57.179058669895717</v>
      </c>
      <c r="F59" s="23"/>
      <c r="G59" s="61">
        <f>+G28</f>
        <v>11.814694355744496</v>
      </c>
      <c r="H59" s="61">
        <f>+H28</f>
        <v>22.168601481538531</v>
      </c>
      <c r="I59" s="61">
        <f>+I28</f>
        <v>38.309969308830134</v>
      </c>
      <c r="J59" s="24"/>
      <c r="K59" s="59"/>
      <c r="N59" s="27"/>
    </row>
    <row r="60" spans="1:14" ht="14.25" thickTop="1" thickBot="1" x14ac:dyDescent="0.25">
      <c r="A60" s="57" t="s">
        <v>102</v>
      </c>
      <c r="B60" s="57"/>
      <c r="C60" s="58">
        <f>+C46</f>
        <v>4.6153705534694618</v>
      </c>
      <c r="D60" s="58">
        <f>+D46</f>
        <v>21.089554601364711</v>
      </c>
      <c r="E60" s="58">
        <f>+E46</f>
        <v>54.622445658699469</v>
      </c>
      <c r="F60" s="23"/>
      <c r="G60" s="58">
        <f>+G46</f>
        <v>3.0922982708245392</v>
      </c>
      <c r="H60" s="58">
        <f>+H46</f>
        <v>14.130001582914357</v>
      </c>
      <c r="I60" s="58">
        <f>+I46</f>
        <v>36.597038591328648</v>
      </c>
      <c r="J60" s="24"/>
      <c r="K60" s="31"/>
      <c r="N60" s="27"/>
    </row>
    <row r="61" spans="1:14" ht="13.6" thickBot="1" x14ac:dyDescent="0.25">
      <c r="A61" s="60" t="s">
        <v>52</v>
      </c>
      <c r="B61" s="60"/>
      <c r="C61" s="74">
        <f>+C53</f>
        <v>0</v>
      </c>
      <c r="D61" s="74">
        <f>+D53</f>
        <v>9.7122489877409954</v>
      </c>
      <c r="E61" s="74">
        <f>+E53</f>
        <v>22.236774864336258</v>
      </c>
      <c r="F61" s="23"/>
      <c r="G61" s="74">
        <f>+G53</f>
        <v>0</v>
      </c>
      <c r="H61" s="74">
        <f>+H53</f>
        <v>6.5072068217864674</v>
      </c>
      <c r="I61" s="74">
        <f>+I53</f>
        <v>14.898639159105294</v>
      </c>
      <c r="J61" s="24"/>
      <c r="K61" s="31"/>
      <c r="N61" s="27"/>
    </row>
    <row r="62" spans="1:14" ht="14.25" thickTop="1" thickBot="1" x14ac:dyDescent="0.25">
      <c r="A62" s="57" t="s">
        <v>107</v>
      </c>
      <c r="B62" s="57"/>
      <c r="C62" s="70">
        <f>SUM(C59:C61)</f>
        <v>22.249242726222441</v>
      </c>
      <c r="D62" s="70">
        <f>SUM(D59:D61)</f>
        <v>63.889268486924408</v>
      </c>
      <c r="E62" s="70">
        <f>SUM(E59:E61)</f>
        <v>134.03827919293144</v>
      </c>
      <c r="F62" s="23"/>
      <c r="G62" s="70">
        <f>SUM(G59:G61)</f>
        <v>14.906992626569036</v>
      </c>
      <c r="H62" s="70">
        <f>SUM(H59:H61)</f>
        <v>42.805809886239359</v>
      </c>
      <c r="I62" s="70">
        <f>SUM(I59:I61)</f>
        <v>89.805647059264089</v>
      </c>
      <c r="J62" s="24"/>
      <c r="K62" s="31"/>
      <c r="N62" s="27"/>
    </row>
    <row r="63" spans="1:14" ht="13.6" thickBot="1" x14ac:dyDescent="0.25">
      <c r="A63" s="71"/>
      <c r="B63" s="71"/>
      <c r="C63" s="72"/>
      <c r="D63" s="72"/>
      <c r="E63" s="72"/>
      <c r="F63" s="23"/>
      <c r="G63" s="72"/>
      <c r="H63" s="72"/>
      <c r="I63" s="72"/>
      <c r="J63" s="24"/>
      <c r="K63" s="31"/>
      <c r="N63" s="27"/>
    </row>
    <row r="64" spans="1:14" ht="13.6" thickBot="1" x14ac:dyDescent="0.25">
      <c r="A64" s="73" t="s">
        <v>104</v>
      </c>
      <c r="B64" s="71"/>
      <c r="C64" s="72"/>
      <c r="D64" s="72"/>
      <c r="E64" s="72"/>
      <c r="F64" s="23"/>
      <c r="G64" s="72"/>
      <c r="H64" s="72"/>
      <c r="I64" s="72"/>
      <c r="J64" s="24"/>
      <c r="K64" s="31"/>
      <c r="N64" s="27"/>
    </row>
    <row r="65" spans="1:14" ht="13.6" thickBot="1" x14ac:dyDescent="0.25">
      <c r="A65" s="60" t="s">
        <v>106</v>
      </c>
      <c r="B65" s="60"/>
      <c r="C65" s="61">
        <v>-12</v>
      </c>
      <c r="D65" s="61">
        <v>-10</v>
      </c>
      <c r="E65" s="61">
        <v>-8</v>
      </c>
      <c r="F65" s="23"/>
      <c r="G65" s="61">
        <v>-6</v>
      </c>
      <c r="H65" s="61">
        <v>-5</v>
      </c>
      <c r="I65" s="61">
        <v>-4</v>
      </c>
      <c r="J65" s="24"/>
      <c r="N65" s="27"/>
    </row>
    <row r="66" spans="1:14" ht="14.25" thickTop="1" thickBot="1" x14ac:dyDescent="0.25">
      <c r="A66" s="57" t="s">
        <v>105</v>
      </c>
      <c r="B66" s="57"/>
      <c r="C66" s="58">
        <f>-PV('Global assumptions'!C4,'Global assumptions'!C5,(833+2000+34635)*12)/1000000</f>
        <v>3.8484785697507049</v>
      </c>
      <c r="D66" s="58">
        <f>-PV('Global assumptions'!D4,'Global assumptions'!D5,(833+2000+34635)*12)/1000000</f>
        <v>4.3667825408721548</v>
      </c>
      <c r="E66" s="58">
        <f>-PV('Global assumptions'!E4,'Global assumptions'!E5,(833+2000+34635)*12)/1000000</f>
        <v>4.9990048837017058</v>
      </c>
      <c r="F66" s="23"/>
      <c r="G66" s="58">
        <v>0</v>
      </c>
      <c r="H66" s="58">
        <f>-PV('Global assumptions'!D4,'Global assumptions'!D5,0.1)</f>
        <v>0.97122489877409957</v>
      </c>
      <c r="I66" s="58">
        <f>-PV('Global assumptions'!E4,'Global assumptions'!E5,(833+2000+20635)*12)/1000000</f>
        <v>3.1311157950974602</v>
      </c>
      <c r="J66" s="24"/>
      <c r="N66" s="27"/>
    </row>
    <row r="67" spans="1:14" ht="13.6" thickBot="1" x14ac:dyDescent="0.25">
      <c r="A67" s="60" t="s">
        <v>43</v>
      </c>
      <c r="B67" s="60"/>
      <c r="C67" s="74">
        <v>0</v>
      </c>
      <c r="D67" s="74">
        <v>0</v>
      </c>
      <c r="E67" s="74">
        <v>0</v>
      </c>
      <c r="F67" s="23"/>
      <c r="G67" s="74">
        <v>0</v>
      </c>
      <c r="H67" s="74">
        <v>0</v>
      </c>
      <c r="I67" s="74">
        <v>0</v>
      </c>
      <c r="J67" s="24"/>
    </row>
    <row r="68" spans="1:14" ht="14.25" thickTop="1" thickBot="1" x14ac:dyDescent="0.25">
      <c r="A68" s="57" t="s">
        <v>108</v>
      </c>
      <c r="B68" s="57"/>
      <c r="C68" s="70">
        <f>SUM(C65:C67)</f>
        <v>-8.1515214302492947</v>
      </c>
      <c r="D68" s="70">
        <f>SUM(D65:D67)</f>
        <v>-5.6332174591278452</v>
      </c>
      <c r="E68" s="70">
        <f>SUM(E65:E67)</f>
        <v>-3.0009951162982942</v>
      </c>
      <c r="F68" s="23"/>
      <c r="G68" s="70">
        <f>SUM(G65:G67)</f>
        <v>-6</v>
      </c>
      <c r="H68" s="70">
        <f>SUM(H65:H67)</f>
        <v>-4.0287751012259001</v>
      </c>
      <c r="I68" s="70">
        <f>SUM(I65:I67)</f>
        <v>-0.86888420490253981</v>
      </c>
      <c r="J68" s="24"/>
    </row>
    <row r="69" spans="1:14" ht="13.6" thickBot="1" x14ac:dyDescent="0.25">
      <c r="F69" s="23"/>
    </row>
    <row r="70" spans="1:14" ht="13.6" thickBot="1" x14ac:dyDescent="0.25">
      <c r="A70" s="62" t="s">
        <v>109</v>
      </c>
      <c r="B70" s="62"/>
      <c r="C70" s="75">
        <f>+C62+C68</f>
        <v>14.097721295973146</v>
      </c>
      <c r="D70" s="75">
        <f t="shared" ref="D70:E70" si="2">+D62+D68</f>
        <v>58.256051027796559</v>
      </c>
      <c r="E70" s="75">
        <f t="shared" si="2"/>
        <v>131.03728407663314</v>
      </c>
      <c r="F70" s="23"/>
      <c r="G70" s="75">
        <f>+G62+G68</f>
        <v>8.9069926265690356</v>
      </c>
      <c r="H70" s="75">
        <f t="shared" ref="H70:I70" si="3">+H62+H68</f>
        <v>38.777034785013456</v>
      </c>
      <c r="I70" s="75">
        <f t="shared" si="3"/>
        <v>88.936762854361547</v>
      </c>
    </row>
    <row r="71" spans="1:14" ht="12.8" x14ac:dyDescent="0.2">
      <c r="F71" s="23"/>
    </row>
    <row r="72" spans="1:14" ht="12.8" x14ac:dyDescent="0.2">
      <c r="A72" s="22" t="s">
        <v>112</v>
      </c>
      <c r="F72" s="23"/>
    </row>
    <row r="73" spans="1:14" ht="12.8" x14ac:dyDescent="0.2">
      <c r="A73" s="22" t="s">
        <v>114</v>
      </c>
      <c r="B73" s="69">
        <v>0.67</v>
      </c>
      <c r="F73" s="23"/>
    </row>
    <row r="74" spans="1:14" ht="12.8" x14ac:dyDescent="0.2">
      <c r="F74" s="23"/>
    </row>
    <row r="75" spans="1:14" ht="12.8" x14ac:dyDescent="0.2">
      <c r="F75" s="23"/>
    </row>
    <row r="76" spans="1:14" ht="12.8" x14ac:dyDescent="0.2">
      <c r="F76" s="23"/>
    </row>
    <row r="77" spans="1:14" ht="13.6" thickBot="1" x14ac:dyDescent="0.25">
      <c r="F77" s="23"/>
    </row>
    <row r="78" spans="1:14" ht="12.8" customHeight="1" x14ac:dyDescent="0.25">
      <c r="A78" s="78"/>
      <c r="B78" s="67"/>
      <c r="C78" s="80" t="s">
        <v>41</v>
      </c>
      <c r="D78" s="80" t="s">
        <v>16</v>
      </c>
      <c r="E78" s="80" t="s">
        <v>42</v>
      </c>
      <c r="F78" s="23"/>
    </row>
    <row r="79" spans="1:14" ht="13.75" thickBot="1" x14ac:dyDescent="0.3">
      <c r="A79" s="79"/>
      <c r="B79" s="68"/>
      <c r="C79" s="81"/>
      <c r="D79" s="81"/>
      <c r="E79" s="81"/>
      <c r="F79" s="23"/>
    </row>
    <row r="80" spans="1:14" ht="27" customHeight="1" thickTop="1" thickBot="1" x14ac:dyDescent="0.25">
      <c r="A80" s="60" t="s">
        <v>113</v>
      </c>
      <c r="B80" s="60"/>
      <c r="C80" s="76">
        <v>0.92</v>
      </c>
      <c r="D80" s="76">
        <v>0.97</v>
      </c>
      <c r="E80" s="76">
        <v>0.98</v>
      </c>
      <c r="F80" s="23"/>
    </row>
    <row r="81" spans="6:6" ht="12.8" x14ac:dyDescent="0.2">
      <c r="F81" s="23"/>
    </row>
    <row r="82" spans="6:6" ht="12.8" x14ac:dyDescent="0.2">
      <c r="F82" s="23"/>
    </row>
    <row r="83" spans="6:6" ht="12.8" x14ac:dyDescent="0.2">
      <c r="F83" s="23"/>
    </row>
    <row r="84" spans="6:6" ht="12.8" x14ac:dyDescent="0.2">
      <c r="F84" s="23"/>
    </row>
    <row r="85" spans="6:6" ht="12.8" x14ac:dyDescent="0.2">
      <c r="F85" s="23"/>
    </row>
    <row r="86" spans="6:6" ht="12.8" x14ac:dyDescent="0.2">
      <c r="F86" s="23"/>
    </row>
    <row r="87" spans="6:6" ht="12.8" x14ac:dyDescent="0.2">
      <c r="F87" s="23"/>
    </row>
    <row r="88" spans="6:6" ht="12.8" x14ac:dyDescent="0.2">
      <c r="F88" s="23"/>
    </row>
    <row r="89" spans="6:6" ht="12.8" x14ac:dyDescent="0.2">
      <c r="F89" s="23"/>
    </row>
    <row r="90" spans="6:6" ht="12.8" x14ac:dyDescent="0.2">
      <c r="F90" s="23"/>
    </row>
  </sheetData>
  <mergeCells count="15">
    <mergeCell ref="A78:A79"/>
    <mergeCell ref="C78:C79"/>
    <mergeCell ref="D78:D79"/>
    <mergeCell ref="E78:E79"/>
    <mergeCell ref="G1:I1"/>
    <mergeCell ref="C1:E1"/>
    <mergeCell ref="A56:A57"/>
    <mergeCell ref="G56:G57"/>
    <mergeCell ref="H56:H57"/>
    <mergeCell ref="I56:I57"/>
    <mergeCell ref="C56:C57"/>
    <mergeCell ref="D56:D57"/>
    <mergeCell ref="E56:E57"/>
    <mergeCell ref="C55:E55"/>
    <mergeCell ref="G55:I55"/>
  </mergeCells>
  <hyperlinks>
    <hyperlink ref="K52" r:id="rId1"/>
    <hyperlink ref="K9" r:id="rId2"/>
  </hyperlinks>
  <pageMargins left="0.70866141732283472" right="0.70866141732283472" top="0.74803149606299213" bottom="0.74803149606299213" header="0.31496062992125984" footer="0.31496062992125984"/>
  <pageSetup paperSize="8" scale="71" orientation="landscape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5"/>
  <sheetViews>
    <sheetView zoomScale="85" zoomScaleNormal="85" workbookViewId="0">
      <selection activeCell="C28" sqref="C27:C28"/>
    </sheetView>
  </sheetViews>
  <sheetFormatPr defaultColWidth="8.88671875" defaultRowHeight="12.45" x14ac:dyDescent="0.2"/>
  <cols>
    <col min="1" max="1" width="36.5546875" style="7" customWidth="1"/>
    <col min="2" max="2" width="7" style="7" customWidth="1"/>
    <col min="3" max="6" width="9.33203125" style="7" customWidth="1"/>
    <col min="7" max="16384" width="8.88671875" style="7"/>
  </cols>
  <sheetData>
    <row r="1" spans="1:7" ht="18.850000000000001" x14ac:dyDescent="0.3">
      <c r="A1" s="2" t="s">
        <v>15</v>
      </c>
    </row>
    <row r="3" spans="1:7" customFormat="1" ht="29.95" x14ac:dyDescent="0.25">
      <c r="A3" s="9" t="s">
        <v>38</v>
      </c>
      <c r="C3" s="66" t="s">
        <v>41</v>
      </c>
      <c r="D3" s="66" t="s">
        <v>16</v>
      </c>
      <c r="E3" s="66" t="s">
        <v>42</v>
      </c>
      <c r="F3" s="7"/>
      <c r="G3" s="3" t="s">
        <v>14</v>
      </c>
    </row>
    <row r="4" spans="1:7" customFormat="1" ht="15.05" x14ac:dyDescent="0.25">
      <c r="A4" t="s">
        <v>9</v>
      </c>
      <c r="B4" t="s">
        <v>3</v>
      </c>
      <c r="C4" s="8">
        <v>0.08</v>
      </c>
      <c r="D4" s="6">
        <v>0.06</v>
      </c>
      <c r="E4" s="8">
        <v>0.04</v>
      </c>
      <c r="F4" s="7"/>
      <c r="G4" s="1" t="s">
        <v>29</v>
      </c>
    </row>
    <row r="5" spans="1:7" customFormat="1" ht="15.05" x14ac:dyDescent="0.25">
      <c r="A5" t="s">
        <v>21</v>
      </c>
      <c r="B5" t="s">
        <v>7</v>
      </c>
      <c r="C5" s="4">
        <v>15</v>
      </c>
      <c r="D5" s="5">
        <v>15</v>
      </c>
      <c r="E5" s="4">
        <v>15</v>
      </c>
      <c r="F5" s="7"/>
      <c r="G5" s="1" t="s">
        <v>29</v>
      </c>
    </row>
    <row r="6" spans="1:7" customFormat="1" ht="15.05" x14ac:dyDescent="0.25">
      <c r="A6" t="s">
        <v>67</v>
      </c>
      <c r="B6" t="s">
        <v>7</v>
      </c>
      <c r="C6" s="4">
        <v>5</v>
      </c>
      <c r="D6" s="5">
        <v>4</v>
      </c>
      <c r="E6" s="4">
        <v>3</v>
      </c>
      <c r="F6" s="7"/>
      <c r="G6" s="1" t="s">
        <v>77</v>
      </c>
    </row>
    <row r="7" spans="1:7" customFormat="1" ht="15.05" x14ac:dyDescent="0.25">
      <c r="A7" s="7"/>
      <c r="B7" s="7"/>
      <c r="C7" s="7"/>
      <c r="D7" s="7"/>
      <c r="E7" s="7"/>
      <c r="F7" s="7"/>
      <c r="G7" s="7"/>
    </row>
    <row r="8" spans="1:7" customFormat="1" ht="15.05" x14ac:dyDescent="0.25">
      <c r="A8" s="7"/>
      <c r="B8" s="7"/>
      <c r="C8" s="7"/>
      <c r="D8" s="7"/>
      <c r="E8" s="7"/>
      <c r="F8" s="7"/>
      <c r="G8" s="7"/>
    </row>
    <row r="10" spans="1:7" ht="15.05" x14ac:dyDescent="0.25">
      <c r="A10" s="16" t="s">
        <v>93</v>
      </c>
      <c r="B10" s="16" t="s">
        <v>1</v>
      </c>
      <c r="C10" s="17">
        <v>6900</v>
      </c>
    </row>
    <row r="11" spans="1:7" ht="15.05" x14ac:dyDescent="0.25">
      <c r="A11" s="16" t="s">
        <v>94</v>
      </c>
      <c r="B11" s="16" t="s">
        <v>1</v>
      </c>
      <c r="C11" s="17">
        <f>1.7*2.2*1000</f>
        <v>3740</v>
      </c>
    </row>
    <row r="12" spans="1:7" ht="15.05" x14ac:dyDescent="0.25">
      <c r="A12" s="13" t="s">
        <v>95</v>
      </c>
      <c r="B12" s="16" t="s">
        <v>1</v>
      </c>
      <c r="C12" s="19">
        <v>400</v>
      </c>
    </row>
    <row r="13" spans="1:7" ht="15.05" x14ac:dyDescent="0.25">
      <c r="A13" s="13" t="s">
        <v>96</v>
      </c>
      <c r="B13" s="16" t="s">
        <v>1</v>
      </c>
      <c r="C13" s="19">
        <v>50</v>
      </c>
    </row>
    <row r="14" spans="1:7" ht="15.05" x14ac:dyDescent="0.25">
      <c r="A14" t="s">
        <v>68</v>
      </c>
      <c r="B14" t="s">
        <v>70</v>
      </c>
      <c r="C14" s="10">
        <v>0</v>
      </c>
      <c r="D14" s="11">
        <v>1.0999999999999999E-2</v>
      </c>
      <c r="E14" s="10">
        <v>2.5000000000000001E-2</v>
      </c>
      <c r="G14" s="1" t="s">
        <v>86</v>
      </c>
    </row>
    <row r="15" spans="1:7" ht="15.05" x14ac:dyDescent="0.25">
      <c r="A15" t="s">
        <v>69</v>
      </c>
      <c r="B15" t="s">
        <v>70</v>
      </c>
      <c r="C15" s="10">
        <f>+C14</f>
        <v>0</v>
      </c>
      <c r="D15" s="11">
        <f>+D14</f>
        <v>1.0999999999999999E-2</v>
      </c>
      <c r="E15" s="10">
        <f>+E14</f>
        <v>2.5000000000000001E-2</v>
      </c>
      <c r="G15" s="1" t="s">
        <v>87</v>
      </c>
    </row>
  </sheetData>
  <pageMargins left="0.75" right="0.75" top="1" bottom="1" header="0.5" footer="0.5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zoomScale="85" zoomScaleNormal="85" workbookViewId="0">
      <selection activeCell="C15" sqref="C15"/>
    </sheetView>
  </sheetViews>
  <sheetFormatPr defaultColWidth="8.88671875" defaultRowHeight="13.1" x14ac:dyDescent="0.25"/>
  <cols>
    <col min="1" max="1" width="29.6640625" style="12" customWidth="1"/>
    <col min="2" max="2" width="9.109375" style="12" customWidth="1"/>
    <col min="3" max="21" width="7.6640625" style="12" customWidth="1"/>
    <col min="22" max="16384" width="8.88671875" style="12"/>
  </cols>
  <sheetData>
    <row r="1" spans="1:21" ht="15.05" x14ac:dyDescent="0.25">
      <c r="A1" s="15" t="s">
        <v>92</v>
      </c>
      <c r="B1" s="15"/>
      <c r="C1" s="65">
        <v>2015</v>
      </c>
      <c r="D1" s="65">
        <f>C1+1</f>
        <v>2016</v>
      </c>
      <c r="E1" s="65">
        <f>D1+1</f>
        <v>2017</v>
      </c>
      <c r="F1" s="65">
        <f t="shared" ref="F1:R1" si="0">E1+1</f>
        <v>2018</v>
      </c>
      <c r="G1" s="65">
        <f t="shared" si="0"/>
        <v>2019</v>
      </c>
      <c r="H1" s="65">
        <f t="shared" si="0"/>
        <v>2020</v>
      </c>
      <c r="I1" s="65">
        <f t="shared" si="0"/>
        <v>2021</v>
      </c>
      <c r="J1" s="65">
        <f t="shared" si="0"/>
        <v>2022</v>
      </c>
      <c r="K1" s="65">
        <f t="shared" si="0"/>
        <v>2023</v>
      </c>
      <c r="L1" s="65">
        <f t="shared" si="0"/>
        <v>2024</v>
      </c>
      <c r="M1" s="65">
        <f t="shared" si="0"/>
        <v>2025</v>
      </c>
      <c r="N1" s="65">
        <f t="shared" si="0"/>
        <v>2026</v>
      </c>
      <c r="O1" s="65">
        <f t="shared" si="0"/>
        <v>2027</v>
      </c>
      <c r="P1" s="65">
        <f t="shared" si="0"/>
        <v>2028</v>
      </c>
      <c r="Q1" s="65">
        <f t="shared" si="0"/>
        <v>2029</v>
      </c>
      <c r="R1" s="65">
        <f t="shared" si="0"/>
        <v>2030</v>
      </c>
      <c r="S1" s="65">
        <f t="shared" ref="S1:U1" si="1">R1+1</f>
        <v>2031</v>
      </c>
      <c r="T1" s="65">
        <f t="shared" si="1"/>
        <v>2032</v>
      </c>
      <c r="U1" s="65">
        <f t="shared" si="1"/>
        <v>2033</v>
      </c>
    </row>
    <row r="2" spans="1:21" ht="15.05" x14ac:dyDescent="0.25">
      <c r="A2" s="13"/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15.05" x14ac:dyDescent="0.25">
      <c r="A3" s="15" t="s">
        <v>63</v>
      </c>
      <c r="B3" s="15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ht="15.05" x14ac:dyDescent="0.25">
      <c r="A4" s="16" t="s">
        <v>26</v>
      </c>
      <c r="B4" s="16" t="s">
        <v>1</v>
      </c>
      <c r="C4" s="64">
        <f>+C19</f>
        <v>6900</v>
      </c>
      <c r="D4" s="18">
        <f>C4*(1+'Global assumptions'!$C14)</f>
        <v>6900</v>
      </c>
      <c r="E4" s="18">
        <f>D4*(1+'Global assumptions'!$C14)</f>
        <v>6900</v>
      </c>
      <c r="F4" s="18">
        <f>E4*(1+'Global assumptions'!$C14)</f>
        <v>6900</v>
      </c>
      <c r="G4" s="18">
        <f>F4*(1+'Global assumptions'!$C14)</f>
        <v>6900</v>
      </c>
      <c r="H4" s="18">
        <f>G4*(1+'Global assumptions'!$C14)</f>
        <v>6900</v>
      </c>
      <c r="I4" s="18">
        <f>H4*(1+'Global assumptions'!$C14)</f>
        <v>6900</v>
      </c>
      <c r="J4" s="18">
        <f>I4*(1+'Global assumptions'!$C14)</f>
        <v>6900</v>
      </c>
      <c r="K4" s="18">
        <f>J4*(1+'Global assumptions'!$C14)</f>
        <v>6900</v>
      </c>
      <c r="L4" s="18">
        <f>K4*(1+'Global assumptions'!$C14)</f>
        <v>6900</v>
      </c>
      <c r="M4" s="18">
        <f>L4*(1+'Global assumptions'!$C14)</f>
        <v>6900</v>
      </c>
      <c r="N4" s="18">
        <f>M4*(1+'Global assumptions'!$C14)</f>
        <v>6900</v>
      </c>
      <c r="O4" s="18">
        <f>N4*(1+'Global assumptions'!$C14)</f>
        <v>6900</v>
      </c>
      <c r="P4" s="18">
        <f>O4*(1+'Global assumptions'!$C14)</f>
        <v>6900</v>
      </c>
      <c r="Q4" s="18">
        <f>P4*(1+'Global assumptions'!$C14)</f>
        <v>6900</v>
      </c>
      <c r="R4" s="18">
        <f>Q4*(1+'Global assumptions'!$C14)</f>
        <v>6900</v>
      </c>
      <c r="S4" s="18">
        <f>R4*(1+'Global assumptions'!$C14)</f>
        <v>6900</v>
      </c>
      <c r="T4" s="18">
        <f>S4*(1+'Global assumptions'!$C14)</f>
        <v>6900</v>
      </c>
      <c r="U4" s="18">
        <f>T4*(1+'Global assumptions'!$C14)</f>
        <v>6900</v>
      </c>
    </row>
    <row r="5" spans="1:21" ht="15.05" x14ac:dyDescent="0.25">
      <c r="A5" s="16" t="s">
        <v>27</v>
      </c>
      <c r="B5" s="16" t="s">
        <v>1</v>
      </c>
      <c r="C5" s="64">
        <f>+C20</f>
        <v>3740</v>
      </c>
      <c r="D5" s="18">
        <f>C5*(1+'Global assumptions'!$C15)</f>
        <v>3740</v>
      </c>
      <c r="E5" s="18">
        <f>D5*(1+'Global assumptions'!$C15)</f>
        <v>3740</v>
      </c>
      <c r="F5" s="18">
        <f>E5*(1+'Global assumptions'!$C15)</f>
        <v>3740</v>
      </c>
      <c r="G5" s="18">
        <f>F5*(1+'Global assumptions'!$C15)</f>
        <v>3740</v>
      </c>
      <c r="H5" s="18">
        <f>G5*(1+'Global assumptions'!$C15)</f>
        <v>3740</v>
      </c>
      <c r="I5" s="18">
        <f>H5*(1+'Global assumptions'!$C15)</f>
        <v>3740</v>
      </c>
      <c r="J5" s="18">
        <f>I5*(1+'Global assumptions'!$C15)</f>
        <v>3740</v>
      </c>
      <c r="K5" s="18">
        <f>J5*(1+'Global assumptions'!$C15)</f>
        <v>3740</v>
      </c>
      <c r="L5" s="18">
        <f>K5*(1+'Global assumptions'!$C15)</f>
        <v>3740</v>
      </c>
      <c r="M5" s="18">
        <f>L5*(1+'Global assumptions'!$C15)</f>
        <v>3740</v>
      </c>
      <c r="N5" s="18">
        <f>M5*(1+'Global assumptions'!$C15)</f>
        <v>3740</v>
      </c>
      <c r="O5" s="18">
        <f>N5*(1+'Global assumptions'!$C15)</f>
        <v>3740</v>
      </c>
      <c r="P5" s="18">
        <f>O5*(1+'Global assumptions'!$C15)</f>
        <v>3740</v>
      </c>
      <c r="Q5" s="18">
        <f>P5*(1+'Global assumptions'!$C15)</f>
        <v>3740</v>
      </c>
      <c r="R5" s="18">
        <f>Q5*(1+'Global assumptions'!$C15)</f>
        <v>3740</v>
      </c>
      <c r="S5" s="18">
        <f>R5*(1+'Global assumptions'!$C15)</f>
        <v>3740</v>
      </c>
      <c r="T5" s="18">
        <f>S5*(1+'Global assumptions'!$C15)</f>
        <v>3740</v>
      </c>
      <c r="U5" s="18">
        <f>T5*(1+'Global assumptions'!$C15)</f>
        <v>3740</v>
      </c>
    </row>
    <row r="6" spans="1:21" ht="15.05" x14ac:dyDescent="0.25">
      <c r="A6" s="16"/>
      <c r="B6" s="16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15.05" x14ac:dyDescent="0.25">
      <c r="A7" s="13" t="s">
        <v>83</v>
      </c>
      <c r="B7" s="13"/>
      <c r="C7" s="64">
        <f>+C22</f>
        <v>400</v>
      </c>
      <c r="D7" s="20">
        <f>ROUND(C7/C4*D4,0)</f>
        <v>400</v>
      </c>
      <c r="E7" s="20">
        <f t="shared" ref="E7:U7" si="2">ROUND(D7/D4*E4,0)</f>
        <v>400</v>
      </c>
      <c r="F7" s="20">
        <f t="shared" si="2"/>
        <v>400</v>
      </c>
      <c r="G7" s="20">
        <f t="shared" si="2"/>
        <v>400</v>
      </c>
      <c r="H7" s="20">
        <f t="shared" si="2"/>
        <v>400</v>
      </c>
      <c r="I7" s="20">
        <f t="shared" si="2"/>
        <v>400</v>
      </c>
      <c r="J7" s="20">
        <f t="shared" si="2"/>
        <v>400</v>
      </c>
      <c r="K7" s="20">
        <f t="shared" si="2"/>
        <v>400</v>
      </c>
      <c r="L7" s="20">
        <f t="shared" si="2"/>
        <v>400</v>
      </c>
      <c r="M7" s="20">
        <f t="shared" si="2"/>
        <v>400</v>
      </c>
      <c r="N7" s="20">
        <f t="shared" si="2"/>
        <v>400</v>
      </c>
      <c r="O7" s="20">
        <f t="shared" si="2"/>
        <v>400</v>
      </c>
      <c r="P7" s="20">
        <f t="shared" si="2"/>
        <v>400</v>
      </c>
      <c r="Q7" s="20">
        <f t="shared" si="2"/>
        <v>400</v>
      </c>
      <c r="R7" s="20">
        <f t="shared" si="2"/>
        <v>400</v>
      </c>
      <c r="S7" s="20">
        <f t="shared" si="2"/>
        <v>400</v>
      </c>
      <c r="T7" s="20">
        <f t="shared" si="2"/>
        <v>400</v>
      </c>
      <c r="U7" s="20">
        <f t="shared" si="2"/>
        <v>400</v>
      </c>
    </row>
    <row r="8" spans="1:21" ht="15.05" x14ac:dyDescent="0.25">
      <c r="A8" s="13" t="s">
        <v>84</v>
      </c>
      <c r="B8" s="13"/>
      <c r="C8" s="64">
        <f>+C23</f>
        <v>50</v>
      </c>
      <c r="D8" s="20">
        <f t="shared" ref="D8:U8" si="3">ROUND(C8/C5*D5,0)</f>
        <v>50</v>
      </c>
      <c r="E8" s="20">
        <f t="shared" si="3"/>
        <v>50</v>
      </c>
      <c r="F8" s="20">
        <f t="shared" si="3"/>
        <v>50</v>
      </c>
      <c r="G8" s="20">
        <f t="shared" si="3"/>
        <v>50</v>
      </c>
      <c r="H8" s="20">
        <f t="shared" si="3"/>
        <v>50</v>
      </c>
      <c r="I8" s="20">
        <f t="shared" si="3"/>
        <v>50</v>
      </c>
      <c r="J8" s="20">
        <f t="shared" si="3"/>
        <v>50</v>
      </c>
      <c r="K8" s="20">
        <f t="shared" si="3"/>
        <v>50</v>
      </c>
      <c r="L8" s="20">
        <f t="shared" si="3"/>
        <v>50</v>
      </c>
      <c r="M8" s="20">
        <f t="shared" si="3"/>
        <v>50</v>
      </c>
      <c r="N8" s="20">
        <f t="shared" si="3"/>
        <v>50</v>
      </c>
      <c r="O8" s="20">
        <f t="shared" si="3"/>
        <v>50</v>
      </c>
      <c r="P8" s="20">
        <f t="shared" si="3"/>
        <v>50</v>
      </c>
      <c r="Q8" s="20">
        <f t="shared" si="3"/>
        <v>50</v>
      </c>
      <c r="R8" s="20">
        <f t="shared" si="3"/>
        <v>50</v>
      </c>
      <c r="S8" s="20">
        <f t="shared" si="3"/>
        <v>50</v>
      </c>
      <c r="T8" s="20">
        <f t="shared" si="3"/>
        <v>50</v>
      </c>
      <c r="U8" s="20">
        <f t="shared" si="3"/>
        <v>50</v>
      </c>
    </row>
    <row r="9" spans="1:21" ht="15.05" x14ac:dyDescent="0.25">
      <c r="A9" s="13" t="s">
        <v>71</v>
      </c>
      <c r="B9" s="13"/>
      <c r="C9" s="20">
        <f>SUM(C7:C8)</f>
        <v>450</v>
      </c>
      <c r="D9" s="20">
        <f t="shared" ref="D9:U9" si="4">SUM(D7:D8)</f>
        <v>450</v>
      </c>
      <c r="E9" s="20">
        <f t="shared" si="4"/>
        <v>450</v>
      </c>
      <c r="F9" s="20">
        <f t="shared" si="4"/>
        <v>450</v>
      </c>
      <c r="G9" s="20">
        <f t="shared" si="4"/>
        <v>450</v>
      </c>
      <c r="H9" s="20">
        <f t="shared" si="4"/>
        <v>450</v>
      </c>
      <c r="I9" s="20">
        <f t="shared" si="4"/>
        <v>450</v>
      </c>
      <c r="J9" s="20">
        <f t="shared" si="4"/>
        <v>450</v>
      </c>
      <c r="K9" s="20">
        <f t="shared" si="4"/>
        <v>450</v>
      </c>
      <c r="L9" s="20">
        <f t="shared" si="4"/>
        <v>450</v>
      </c>
      <c r="M9" s="20">
        <f t="shared" si="4"/>
        <v>450</v>
      </c>
      <c r="N9" s="20">
        <f t="shared" si="4"/>
        <v>450</v>
      </c>
      <c r="O9" s="20">
        <f t="shared" si="4"/>
        <v>450</v>
      </c>
      <c r="P9" s="20">
        <f t="shared" si="4"/>
        <v>450</v>
      </c>
      <c r="Q9" s="20">
        <f t="shared" si="4"/>
        <v>450</v>
      </c>
      <c r="R9" s="20">
        <f t="shared" si="4"/>
        <v>450</v>
      </c>
      <c r="S9" s="20">
        <f t="shared" si="4"/>
        <v>450</v>
      </c>
      <c r="T9" s="20">
        <f t="shared" si="4"/>
        <v>450</v>
      </c>
      <c r="U9" s="20">
        <f t="shared" si="4"/>
        <v>450</v>
      </c>
    </row>
    <row r="10" spans="1:21" ht="15.05" x14ac:dyDescent="0.25">
      <c r="A10" s="13"/>
      <c r="B10" s="13"/>
      <c r="C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</row>
    <row r="11" spans="1:21" ht="15.05" x14ac:dyDescent="0.25">
      <c r="A11" s="13" t="s">
        <v>85</v>
      </c>
      <c r="B11" s="13"/>
      <c r="C11" s="20"/>
      <c r="E11" s="20"/>
      <c r="F11" s="20"/>
      <c r="G11" s="20"/>
      <c r="H11" s="20"/>
      <c r="I11" s="20">
        <f>Options!$C$32*I5</f>
        <v>18.7</v>
      </c>
      <c r="J11" s="20">
        <f>Options!$C$32*J5</f>
        <v>18.7</v>
      </c>
      <c r="K11" s="20">
        <f>Options!$C$32*K5</f>
        <v>18.7</v>
      </c>
      <c r="L11" s="20">
        <f>Options!$C$32*L5</f>
        <v>18.7</v>
      </c>
      <c r="M11" s="20">
        <f>Options!$C$32*M5</f>
        <v>18.7</v>
      </c>
      <c r="N11" s="20">
        <f>Options!$C$32*N5</f>
        <v>18.7</v>
      </c>
      <c r="O11" s="20">
        <f>Options!$C$32*O5</f>
        <v>18.7</v>
      </c>
      <c r="P11" s="20">
        <f>Options!$C$32*P5</f>
        <v>18.7</v>
      </c>
      <c r="Q11" s="20">
        <f>Options!$C$32*Q5</f>
        <v>18.7</v>
      </c>
      <c r="R11" s="20">
        <f>Options!$C$32*R5</f>
        <v>18.7</v>
      </c>
      <c r="S11" s="20">
        <f>Options!$C$32*S5</f>
        <v>18.7</v>
      </c>
      <c r="T11" s="20">
        <f>Options!$C$32*T5</f>
        <v>18.7</v>
      </c>
      <c r="U11" s="20">
        <f>Options!$C$32*U5</f>
        <v>18.7</v>
      </c>
    </row>
    <row r="12" spans="1:21" ht="15.05" x14ac:dyDescent="0.25">
      <c r="A12" s="13"/>
      <c r="B12" s="13"/>
      <c r="C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spans="1:21" ht="15.05" x14ac:dyDescent="0.25">
      <c r="A13" s="13" t="s">
        <v>74</v>
      </c>
      <c r="B13" s="13"/>
      <c r="C13" s="20">
        <f>SUM(I4:U4)/15</f>
        <v>5980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</row>
    <row r="14" spans="1:21" ht="15.05" x14ac:dyDescent="0.25">
      <c r="A14" s="13" t="s">
        <v>75</v>
      </c>
      <c r="B14" s="13"/>
      <c r="C14" s="20">
        <f>SUM(I5:U5)/15</f>
        <v>3241.3333333333335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</row>
    <row r="15" spans="1:21" ht="15.05" x14ac:dyDescent="0.25">
      <c r="A15" s="13" t="s">
        <v>73</v>
      </c>
      <c r="B15" s="13"/>
      <c r="C15" s="20">
        <f>SUM(I9:U9)/15</f>
        <v>390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</row>
    <row r="16" spans="1:21" ht="15.05" x14ac:dyDescent="0.25">
      <c r="A16" s="13"/>
      <c r="B16" s="13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</row>
    <row r="17" spans="1:21" ht="15.05" x14ac:dyDescent="0.25">
      <c r="A17" s="13"/>
      <c r="B17" s="13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</row>
    <row r="18" spans="1:21" ht="15.05" x14ac:dyDescent="0.25">
      <c r="A18" s="15" t="s">
        <v>81</v>
      </c>
      <c r="B18" s="15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</row>
    <row r="19" spans="1:21" ht="15.05" x14ac:dyDescent="0.25">
      <c r="A19" s="16" t="s">
        <v>26</v>
      </c>
      <c r="B19" s="16"/>
      <c r="C19" s="20">
        <f>+'Global assumptions'!C10</f>
        <v>6900</v>
      </c>
      <c r="D19" s="18">
        <f>C19*(1+'Global assumptions'!$D14)</f>
        <v>6975.9</v>
      </c>
      <c r="E19" s="18">
        <f>D19*(1+'Global assumptions'!$D14)</f>
        <v>7052.6348999999991</v>
      </c>
      <c r="F19" s="18">
        <f>E19*(1+'Global assumptions'!$D14)</f>
        <v>7130.2138838999981</v>
      </c>
      <c r="G19" s="18">
        <f>F19*(1+'Global assumptions'!$D14)</f>
        <v>7208.646236622897</v>
      </c>
      <c r="H19" s="18">
        <f>G19*(1+'Global assumptions'!$D14)</f>
        <v>7287.9413452257486</v>
      </c>
      <c r="I19" s="18">
        <f>H19*(1+'Global assumptions'!$D14)</f>
        <v>7368.108700023231</v>
      </c>
      <c r="J19" s="18">
        <f>I19*(1+'Global assumptions'!$D14)</f>
        <v>7449.157895723486</v>
      </c>
      <c r="K19" s="18">
        <f>J19*(1+'Global assumptions'!$D14)</f>
        <v>7531.0986325764434</v>
      </c>
      <c r="L19" s="18">
        <f>K19*(1+'Global assumptions'!$D14)</f>
        <v>7613.9407175347833</v>
      </c>
      <c r="M19" s="18">
        <f>L19*(1+'Global assumptions'!$D14)</f>
        <v>7697.694065427665</v>
      </c>
      <c r="N19" s="18">
        <f>M19*(1+'Global assumptions'!$D14)</f>
        <v>7782.3687001473681</v>
      </c>
      <c r="O19" s="18">
        <f>N19*(1+'Global assumptions'!$D14)</f>
        <v>7867.974755848988</v>
      </c>
      <c r="P19" s="18">
        <f>O19*(1+'Global assumptions'!$D14)</f>
        <v>7954.522478163326</v>
      </c>
      <c r="Q19" s="18">
        <f>P19*(1+'Global assumptions'!$D14)</f>
        <v>8042.0222254231221</v>
      </c>
      <c r="R19" s="18">
        <f>Q19*(1+'Global assumptions'!$D14)</f>
        <v>8130.4844699027753</v>
      </c>
      <c r="S19" s="18">
        <f>R19*(1+'Global assumptions'!$D14)</f>
        <v>8219.9197990717057</v>
      </c>
      <c r="T19" s="18">
        <f>S19*(1+'Global assumptions'!$D14)</f>
        <v>8310.338916861494</v>
      </c>
      <c r="U19" s="18">
        <f>T19*(1+'Global assumptions'!$D14)</f>
        <v>8401.7526449469697</v>
      </c>
    </row>
    <row r="20" spans="1:21" ht="15.05" x14ac:dyDescent="0.25">
      <c r="A20" s="16" t="s">
        <v>27</v>
      </c>
      <c r="B20" s="16"/>
      <c r="C20" s="20">
        <f>+'Global assumptions'!C11</f>
        <v>3740</v>
      </c>
      <c r="D20" s="18">
        <f>C20*(1+'Global assumptions'!$D15)</f>
        <v>3781.1399999999994</v>
      </c>
      <c r="E20" s="18">
        <f>D20*(1+'Global assumptions'!$D15)</f>
        <v>3822.7325399999991</v>
      </c>
      <c r="F20" s="18">
        <f>E20*(1+'Global assumptions'!$D15)</f>
        <v>3864.7825979399986</v>
      </c>
      <c r="G20" s="18">
        <f>F20*(1+'Global assumptions'!$D15)</f>
        <v>3907.2952065173381</v>
      </c>
      <c r="H20" s="18">
        <f>G20*(1+'Global assumptions'!$D15)</f>
        <v>3950.2754537890282</v>
      </c>
      <c r="I20" s="18">
        <f>H20*(1+'Global assumptions'!$D15)</f>
        <v>3993.7284837807069</v>
      </c>
      <c r="J20" s="18">
        <f>I20*(1+'Global assumptions'!$D15)</f>
        <v>4037.6594971022942</v>
      </c>
      <c r="K20" s="18">
        <f>J20*(1+'Global assumptions'!$D15)</f>
        <v>4082.0737515704191</v>
      </c>
      <c r="L20" s="18">
        <f>K20*(1+'Global assumptions'!$D15)</f>
        <v>4126.9765628376936</v>
      </c>
      <c r="M20" s="18">
        <f>L20*(1+'Global assumptions'!$D15)</f>
        <v>4172.3733050289075</v>
      </c>
      <c r="N20" s="18">
        <f>M20*(1+'Global assumptions'!$D15)</f>
        <v>4218.2694113842254</v>
      </c>
      <c r="O20" s="18">
        <f>N20*(1+'Global assumptions'!$D15)</f>
        <v>4264.6703749094513</v>
      </c>
      <c r="P20" s="18">
        <f>O20*(1+'Global assumptions'!$D15)</f>
        <v>4311.5817490334548</v>
      </c>
      <c r="Q20" s="18">
        <f>P20*(1+'Global assumptions'!$D15)</f>
        <v>4359.0091482728221</v>
      </c>
      <c r="R20" s="18">
        <f>Q20*(1+'Global assumptions'!$D15)</f>
        <v>4406.958248903823</v>
      </c>
      <c r="S20" s="18">
        <f>R20*(1+'Global assumptions'!$D15)</f>
        <v>4455.4347896417648</v>
      </c>
      <c r="T20" s="18">
        <f>S20*(1+'Global assumptions'!$D15)</f>
        <v>4504.4445723278241</v>
      </c>
      <c r="U20" s="18">
        <f>T20*(1+'Global assumptions'!$D15)</f>
        <v>4553.9934626234299</v>
      </c>
    </row>
    <row r="21" spans="1:21" ht="15.05" x14ac:dyDescent="0.25">
      <c r="A21" s="16"/>
      <c r="B21" s="16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</row>
    <row r="22" spans="1:21" ht="15.05" x14ac:dyDescent="0.25">
      <c r="A22" s="13" t="s">
        <v>83</v>
      </c>
      <c r="B22" s="13"/>
      <c r="C22" s="20">
        <f>+'Global assumptions'!C12</f>
        <v>400</v>
      </c>
      <c r="D22" s="20">
        <f t="shared" ref="D22:U22" si="5">ROUND(C22/C19*D19,0)</f>
        <v>404</v>
      </c>
      <c r="E22" s="20">
        <f t="shared" si="5"/>
        <v>408</v>
      </c>
      <c r="F22" s="20">
        <f t="shared" si="5"/>
        <v>412</v>
      </c>
      <c r="G22" s="20">
        <f t="shared" si="5"/>
        <v>417</v>
      </c>
      <c r="H22" s="20">
        <f t="shared" si="5"/>
        <v>422</v>
      </c>
      <c r="I22" s="20">
        <f t="shared" si="5"/>
        <v>427</v>
      </c>
      <c r="J22" s="20">
        <f t="shared" si="5"/>
        <v>432</v>
      </c>
      <c r="K22" s="20">
        <f t="shared" si="5"/>
        <v>437</v>
      </c>
      <c r="L22" s="20">
        <f t="shared" si="5"/>
        <v>442</v>
      </c>
      <c r="M22" s="20">
        <f t="shared" si="5"/>
        <v>447</v>
      </c>
      <c r="N22" s="20">
        <f t="shared" si="5"/>
        <v>452</v>
      </c>
      <c r="O22" s="20">
        <f t="shared" si="5"/>
        <v>457</v>
      </c>
      <c r="P22" s="20">
        <f t="shared" si="5"/>
        <v>462</v>
      </c>
      <c r="Q22" s="20">
        <f t="shared" si="5"/>
        <v>467</v>
      </c>
      <c r="R22" s="20">
        <f t="shared" si="5"/>
        <v>472</v>
      </c>
      <c r="S22" s="20">
        <f t="shared" si="5"/>
        <v>477</v>
      </c>
      <c r="T22" s="20">
        <f t="shared" si="5"/>
        <v>482</v>
      </c>
      <c r="U22" s="20">
        <f t="shared" si="5"/>
        <v>487</v>
      </c>
    </row>
    <row r="23" spans="1:21" ht="15.05" x14ac:dyDescent="0.25">
      <c r="A23" s="13" t="s">
        <v>84</v>
      </c>
      <c r="B23" s="13"/>
      <c r="C23" s="20">
        <f>+'Global assumptions'!C13</f>
        <v>50</v>
      </c>
      <c r="D23" s="20">
        <f t="shared" ref="D23:U23" si="6">ROUND(C23/C20*D20,0)</f>
        <v>51</v>
      </c>
      <c r="E23" s="20">
        <f t="shared" si="6"/>
        <v>52</v>
      </c>
      <c r="F23" s="20">
        <f t="shared" si="6"/>
        <v>53</v>
      </c>
      <c r="G23" s="20">
        <f t="shared" si="6"/>
        <v>54</v>
      </c>
      <c r="H23" s="20">
        <f t="shared" si="6"/>
        <v>55</v>
      </c>
      <c r="I23" s="20">
        <f t="shared" si="6"/>
        <v>56</v>
      </c>
      <c r="J23" s="20">
        <f t="shared" si="6"/>
        <v>57</v>
      </c>
      <c r="K23" s="20">
        <f t="shared" si="6"/>
        <v>58</v>
      </c>
      <c r="L23" s="20">
        <f t="shared" si="6"/>
        <v>59</v>
      </c>
      <c r="M23" s="20">
        <f t="shared" si="6"/>
        <v>60</v>
      </c>
      <c r="N23" s="20">
        <f t="shared" si="6"/>
        <v>61</v>
      </c>
      <c r="O23" s="20">
        <f t="shared" si="6"/>
        <v>62</v>
      </c>
      <c r="P23" s="20">
        <f t="shared" si="6"/>
        <v>63</v>
      </c>
      <c r="Q23" s="20">
        <f t="shared" si="6"/>
        <v>64</v>
      </c>
      <c r="R23" s="20">
        <f t="shared" si="6"/>
        <v>65</v>
      </c>
      <c r="S23" s="20">
        <f t="shared" si="6"/>
        <v>66</v>
      </c>
      <c r="T23" s="20">
        <f t="shared" si="6"/>
        <v>67</v>
      </c>
      <c r="U23" s="20">
        <f t="shared" si="6"/>
        <v>68</v>
      </c>
    </row>
    <row r="24" spans="1:21" ht="15.05" x14ac:dyDescent="0.25">
      <c r="A24" s="13" t="s">
        <v>71</v>
      </c>
      <c r="B24" s="13"/>
      <c r="C24" s="20">
        <f>SUM(C22:C23)</f>
        <v>450</v>
      </c>
      <c r="D24" s="20">
        <f t="shared" ref="D24" si="7">SUM(D22:D23)</f>
        <v>455</v>
      </c>
      <c r="E24" s="20">
        <f t="shared" ref="E24" si="8">SUM(E22:E23)</f>
        <v>460</v>
      </c>
      <c r="F24" s="20">
        <f t="shared" ref="F24" si="9">SUM(F22:F23)</f>
        <v>465</v>
      </c>
      <c r="G24" s="20">
        <f t="shared" ref="G24" si="10">SUM(G22:G23)</f>
        <v>471</v>
      </c>
      <c r="H24" s="20">
        <f t="shared" ref="H24" si="11">SUM(H22:H23)</f>
        <v>477</v>
      </c>
      <c r="I24" s="20">
        <f t="shared" ref="I24" si="12">SUM(I22:I23)</f>
        <v>483</v>
      </c>
      <c r="J24" s="20">
        <f t="shared" ref="J24" si="13">SUM(J22:J23)</f>
        <v>489</v>
      </c>
      <c r="K24" s="20">
        <f t="shared" ref="K24" si="14">SUM(K22:K23)</f>
        <v>495</v>
      </c>
      <c r="L24" s="20">
        <f t="shared" ref="L24" si="15">SUM(L22:L23)</f>
        <v>501</v>
      </c>
      <c r="M24" s="20">
        <f t="shared" ref="M24" si="16">SUM(M22:M23)</f>
        <v>507</v>
      </c>
      <c r="N24" s="20">
        <f t="shared" ref="N24" si="17">SUM(N22:N23)</f>
        <v>513</v>
      </c>
      <c r="O24" s="20">
        <f t="shared" ref="O24" si="18">SUM(O22:O23)</f>
        <v>519</v>
      </c>
      <c r="P24" s="20">
        <f t="shared" ref="P24" si="19">SUM(P22:P23)</f>
        <v>525</v>
      </c>
      <c r="Q24" s="20">
        <f t="shared" ref="Q24" si="20">SUM(Q22:Q23)</f>
        <v>531</v>
      </c>
      <c r="R24" s="20">
        <f t="shared" ref="R24" si="21">SUM(R22:R23)</f>
        <v>537</v>
      </c>
      <c r="S24" s="20">
        <f t="shared" ref="S24" si="22">SUM(S22:S23)</f>
        <v>543</v>
      </c>
      <c r="T24" s="20">
        <f t="shared" ref="T24" si="23">SUM(T22:T23)</f>
        <v>549</v>
      </c>
      <c r="U24" s="20">
        <f t="shared" ref="U24" si="24">SUM(U22:U23)</f>
        <v>555</v>
      </c>
    </row>
    <row r="25" spans="1:21" ht="15.05" x14ac:dyDescent="0.25">
      <c r="A25" s="13"/>
      <c r="B25" s="13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</row>
    <row r="26" spans="1:21" ht="15.05" x14ac:dyDescent="0.25">
      <c r="A26" s="13" t="s">
        <v>85</v>
      </c>
      <c r="B26" s="13"/>
      <c r="C26" s="20"/>
      <c r="E26" s="20"/>
      <c r="F26" s="20"/>
      <c r="G26" s="20"/>
      <c r="H26" s="20">
        <f>Options!$D$32*H20</f>
        <v>39.502754537890283</v>
      </c>
      <c r="I26" s="20">
        <f>Options!$D$32*I20</f>
        <v>39.93728483780707</v>
      </c>
      <c r="J26" s="20">
        <f>Options!$D$32*J20</f>
        <v>40.376594971022939</v>
      </c>
      <c r="K26" s="20">
        <f>Options!$D$32*K20</f>
        <v>40.820737515704188</v>
      </c>
      <c r="L26" s="20">
        <f>Options!$D$32*L20</f>
        <v>41.269765628376938</v>
      </c>
      <c r="M26" s="20">
        <f>Options!$D$32*M20</f>
        <v>41.723733050289077</v>
      </c>
      <c r="N26" s="20">
        <f>Options!$D$32*N20</f>
        <v>42.182694113842253</v>
      </c>
      <c r="O26" s="20">
        <f>Options!$D$32*O20</f>
        <v>42.646703749094513</v>
      </c>
      <c r="P26" s="20">
        <f>Options!$D$32*P20</f>
        <v>43.11581749033455</v>
      </c>
      <c r="Q26" s="20">
        <f>Options!$D$32*Q20</f>
        <v>43.590091482728219</v>
      </c>
      <c r="R26" s="20">
        <f>Options!$D$32*R20</f>
        <v>44.069582489038233</v>
      </c>
      <c r="S26" s="20">
        <f>Options!$D$32*S20</f>
        <v>44.554347896417646</v>
      </c>
      <c r="T26" s="20">
        <f>Options!$D$32*T20</f>
        <v>45.044445723278244</v>
      </c>
      <c r="U26" s="20">
        <f>Options!$D$32*U20</f>
        <v>45.539934626234299</v>
      </c>
    </row>
    <row r="27" spans="1:21" ht="15.05" x14ac:dyDescent="0.25">
      <c r="A27" s="13"/>
      <c r="B27" s="13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</row>
    <row r="28" spans="1:21" ht="15.05" x14ac:dyDescent="0.25">
      <c r="A28" s="13" t="s">
        <v>74</v>
      </c>
      <c r="B28" s="13"/>
      <c r="C28" s="20">
        <f>SUM(I19:U19)/15</f>
        <v>6824.6256001100901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</row>
    <row r="29" spans="1:21" ht="15.05" x14ac:dyDescent="0.25">
      <c r="A29" s="13" t="s">
        <v>75</v>
      </c>
      <c r="B29" s="13"/>
      <c r="C29" s="20">
        <f>SUM(I20:U20)/15</f>
        <v>3699.144890494455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</row>
    <row r="30" spans="1:21" ht="15.05" x14ac:dyDescent="0.25">
      <c r="A30" s="13" t="s">
        <v>72</v>
      </c>
      <c r="B30" s="13"/>
      <c r="C30" s="20">
        <f>SUM(H24:U24)/15</f>
        <v>481.6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</row>
    <row r="31" spans="1:21" ht="15.05" x14ac:dyDescent="0.25">
      <c r="A31" s="13"/>
      <c r="B31" s="13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</row>
    <row r="32" spans="1:21" ht="15.05" x14ac:dyDescent="0.25">
      <c r="A32" s="15" t="s">
        <v>64</v>
      </c>
      <c r="B32" s="15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</row>
    <row r="33" spans="1:21" ht="15.05" x14ac:dyDescent="0.25">
      <c r="A33" s="16" t="s">
        <v>26</v>
      </c>
      <c r="B33" s="16"/>
      <c r="C33" s="64">
        <f>+C19</f>
        <v>6900</v>
      </c>
      <c r="D33" s="18">
        <f>C33*(1+'Global assumptions'!$E14)</f>
        <v>7072.4999999999991</v>
      </c>
      <c r="E33" s="18">
        <f>D33*(1+'Global assumptions'!$E14)</f>
        <v>7249.3124999999982</v>
      </c>
      <c r="F33" s="18">
        <f>E33*(1+'Global assumptions'!$E14)</f>
        <v>7430.5453124999976</v>
      </c>
      <c r="G33" s="18">
        <f>F33*(1+'Global assumptions'!$E14)</f>
        <v>7616.3089453124967</v>
      </c>
      <c r="H33" s="18">
        <f>G33*(1+'Global assumptions'!$E14)</f>
        <v>7806.7166689453088</v>
      </c>
      <c r="I33" s="18">
        <f>H33*(1+'Global assumptions'!$E14)</f>
        <v>8001.8845856689404</v>
      </c>
      <c r="J33" s="18">
        <f>I33*(1+'Global assumptions'!$E14)</f>
        <v>8201.9317003106626</v>
      </c>
      <c r="K33" s="18">
        <f>J33*(1+'Global assumptions'!$E14)</f>
        <v>8406.9799928184275</v>
      </c>
      <c r="L33" s="18">
        <f>K33*(1+'Global assumptions'!$E14)</f>
        <v>8617.1544926388869</v>
      </c>
      <c r="M33" s="18">
        <f>L33*(1+'Global assumptions'!$E14)</f>
        <v>8832.5833549548588</v>
      </c>
      <c r="N33" s="18">
        <f>M33*(1+'Global assumptions'!$E14)</f>
        <v>9053.3979388287298</v>
      </c>
      <c r="O33" s="18">
        <f>N33*(1+'Global assumptions'!$E14)</f>
        <v>9279.7328872994476</v>
      </c>
      <c r="P33" s="18">
        <f>O33*(1+'Global assumptions'!$E14)</f>
        <v>9511.7262094819325</v>
      </c>
      <c r="Q33" s="18">
        <f>P33*(1+'Global assumptions'!$E14)</f>
        <v>9749.5193647189808</v>
      </c>
      <c r="R33" s="18">
        <f>Q33*(1+'Global assumptions'!$E14)</f>
        <v>9993.2573488369544</v>
      </c>
      <c r="S33" s="18">
        <f>R33*(1+'Global assumptions'!$E14)</f>
        <v>10243.088782557877</v>
      </c>
      <c r="T33" s="18">
        <f>S33*(1+'Global assumptions'!$E14)</f>
        <v>10499.166002121823</v>
      </c>
      <c r="U33" s="18">
        <f>T33*(1+'Global assumptions'!$E14)</f>
        <v>10761.645152174868</v>
      </c>
    </row>
    <row r="34" spans="1:21" ht="15.05" x14ac:dyDescent="0.3">
      <c r="A34" s="16" t="s">
        <v>27</v>
      </c>
      <c r="B34" s="16"/>
      <c r="C34" s="64">
        <f>+C20</f>
        <v>3740</v>
      </c>
      <c r="D34" s="18">
        <f>C34*(1+'Global assumptions'!$E15)</f>
        <v>3833.4999999999995</v>
      </c>
      <c r="E34" s="18">
        <f>D34*(1+'Global assumptions'!$E15)</f>
        <v>3929.3374999999992</v>
      </c>
      <c r="F34" s="18">
        <f>E34*(1+'Global assumptions'!$E15)</f>
        <v>4027.5709374999988</v>
      </c>
      <c r="G34" s="18">
        <f>F34*(1+'Global assumptions'!$E15)</f>
        <v>4128.2602109374984</v>
      </c>
      <c r="H34" s="18">
        <f>G34*(1+'Global assumptions'!$E15)</f>
        <v>4231.4667162109354</v>
      </c>
      <c r="I34" s="18">
        <f>H34*(1+'Global assumptions'!$E15)</f>
        <v>4337.2533841162085</v>
      </c>
      <c r="J34" s="18">
        <f>I34*(1+'Global assumptions'!$E15)</f>
        <v>4445.6847187191133</v>
      </c>
      <c r="K34" s="18">
        <f>J34*(1+'Global assumptions'!$E15)</f>
        <v>4556.8268366870907</v>
      </c>
      <c r="L34" s="18">
        <f>K34*(1+'Global assumptions'!$E15)</f>
        <v>4670.7475076042674</v>
      </c>
      <c r="M34" s="18">
        <f>L34*(1+'Global assumptions'!$E15)</f>
        <v>4787.5161952943736</v>
      </c>
      <c r="N34" s="18">
        <f>M34*(1+'Global assumptions'!$E15)</f>
        <v>4907.2041001767329</v>
      </c>
      <c r="O34" s="18">
        <f>N34*(1+'Global assumptions'!$E15)</f>
        <v>5029.8842026811508</v>
      </c>
      <c r="P34" s="18">
        <f>O34*(1+'Global assumptions'!$E15)</f>
        <v>5155.6313077481791</v>
      </c>
      <c r="Q34" s="18">
        <f>P34*(1+'Global assumptions'!$E15)</f>
        <v>5284.5220904418829</v>
      </c>
      <c r="R34" s="18">
        <f>Q34*(1+'Global assumptions'!$E15)</f>
        <v>5416.6351427029294</v>
      </c>
      <c r="S34" s="18">
        <f>R34*(1+'Global assumptions'!$E15)</f>
        <v>5552.0510212705021</v>
      </c>
      <c r="T34" s="18">
        <f>S34*(1+'Global assumptions'!$E15)</f>
        <v>5690.8522968022644</v>
      </c>
      <c r="U34" s="18">
        <f>T34*(1+'Global assumptions'!$E15)</f>
        <v>5833.1236042223209</v>
      </c>
    </row>
    <row r="35" spans="1:21" ht="15.05" x14ac:dyDescent="0.3">
      <c r="A35" s="16"/>
      <c r="B35" s="16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</row>
    <row r="36" spans="1:21" ht="15.05" x14ac:dyDescent="0.3">
      <c r="A36" s="13" t="s">
        <v>83</v>
      </c>
      <c r="B36" s="13"/>
      <c r="C36" s="64">
        <f t="shared" ref="C36:C37" si="25">+C22</f>
        <v>400</v>
      </c>
      <c r="D36" s="20">
        <f t="shared" ref="D36:U36" si="26">ROUND(C36/C33*D33,0)</f>
        <v>410</v>
      </c>
      <c r="E36" s="20">
        <f t="shared" si="26"/>
        <v>420</v>
      </c>
      <c r="F36" s="20">
        <f t="shared" si="26"/>
        <v>431</v>
      </c>
      <c r="G36" s="20">
        <f t="shared" si="26"/>
        <v>442</v>
      </c>
      <c r="H36" s="20">
        <f t="shared" si="26"/>
        <v>453</v>
      </c>
      <c r="I36" s="20">
        <f t="shared" si="26"/>
        <v>464</v>
      </c>
      <c r="J36" s="20">
        <f t="shared" si="26"/>
        <v>476</v>
      </c>
      <c r="K36" s="20">
        <f t="shared" si="26"/>
        <v>488</v>
      </c>
      <c r="L36" s="20">
        <f t="shared" si="26"/>
        <v>500</v>
      </c>
      <c r="M36" s="20">
        <f t="shared" si="26"/>
        <v>513</v>
      </c>
      <c r="N36" s="20">
        <f t="shared" si="26"/>
        <v>526</v>
      </c>
      <c r="O36" s="20">
        <f t="shared" si="26"/>
        <v>539</v>
      </c>
      <c r="P36" s="20">
        <f t="shared" si="26"/>
        <v>552</v>
      </c>
      <c r="Q36" s="20">
        <f t="shared" si="26"/>
        <v>566</v>
      </c>
      <c r="R36" s="20">
        <f t="shared" si="26"/>
        <v>580</v>
      </c>
      <c r="S36" s="20">
        <f t="shared" si="26"/>
        <v>595</v>
      </c>
      <c r="T36" s="20">
        <f t="shared" si="26"/>
        <v>610</v>
      </c>
      <c r="U36" s="20">
        <f t="shared" si="26"/>
        <v>625</v>
      </c>
    </row>
    <row r="37" spans="1:21" ht="15.05" x14ac:dyDescent="0.3">
      <c r="A37" s="13" t="s">
        <v>84</v>
      </c>
      <c r="B37" s="13"/>
      <c r="C37" s="64">
        <f t="shared" si="25"/>
        <v>50</v>
      </c>
      <c r="D37" s="20">
        <f t="shared" ref="D37:U37" si="27">ROUND(C37/C34*D34,0)</f>
        <v>51</v>
      </c>
      <c r="E37" s="20">
        <f t="shared" si="27"/>
        <v>52</v>
      </c>
      <c r="F37" s="20">
        <f t="shared" si="27"/>
        <v>53</v>
      </c>
      <c r="G37" s="20">
        <f t="shared" si="27"/>
        <v>54</v>
      </c>
      <c r="H37" s="20">
        <f t="shared" si="27"/>
        <v>55</v>
      </c>
      <c r="I37" s="20">
        <f t="shared" si="27"/>
        <v>56</v>
      </c>
      <c r="J37" s="20">
        <f t="shared" si="27"/>
        <v>57</v>
      </c>
      <c r="K37" s="20">
        <f t="shared" si="27"/>
        <v>58</v>
      </c>
      <c r="L37" s="20">
        <f t="shared" si="27"/>
        <v>59</v>
      </c>
      <c r="M37" s="20">
        <f t="shared" si="27"/>
        <v>60</v>
      </c>
      <c r="N37" s="20">
        <f t="shared" si="27"/>
        <v>62</v>
      </c>
      <c r="O37" s="20">
        <f t="shared" si="27"/>
        <v>64</v>
      </c>
      <c r="P37" s="20">
        <f t="shared" si="27"/>
        <v>66</v>
      </c>
      <c r="Q37" s="20">
        <f t="shared" si="27"/>
        <v>68</v>
      </c>
      <c r="R37" s="20">
        <f t="shared" si="27"/>
        <v>70</v>
      </c>
      <c r="S37" s="20">
        <f t="shared" si="27"/>
        <v>72</v>
      </c>
      <c r="T37" s="20">
        <f t="shared" si="27"/>
        <v>74</v>
      </c>
      <c r="U37" s="20">
        <f t="shared" si="27"/>
        <v>76</v>
      </c>
    </row>
    <row r="38" spans="1:21" ht="15.05" x14ac:dyDescent="0.3">
      <c r="A38" s="13" t="s">
        <v>71</v>
      </c>
      <c r="B38" s="13"/>
      <c r="C38" s="20">
        <f>SUM(C36:C37)</f>
        <v>450</v>
      </c>
      <c r="D38" s="20">
        <f t="shared" ref="D38" si="28">SUM(D36:D37)</f>
        <v>461</v>
      </c>
      <c r="E38" s="20">
        <f t="shared" ref="E38" si="29">SUM(E36:E37)</f>
        <v>472</v>
      </c>
      <c r="F38" s="20">
        <f t="shared" ref="F38" si="30">SUM(F36:F37)</f>
        <v>484</v>
      </c>
      <c r="G38" s="20">
        <f t="shared" ref="G38" si="31">SUM(G36:G37)</f>
        <v>496</v>
      </c>
      <c r="H38" s="20">
        <f t="shared" ref="H38" si="32">SUM(H36:H37)</f>
        <v>508</v>
      </c>
      <c r="I38" s="20">
        <f t="shared" ref="I38" si="33">SUM(I36:I37)</f>
        <v>520</v>
      </c>
      <c r="J38" s="20">
        <f t="shared" ref="J38" si="34">SUM(J36:J37)</f>
        <v>533</v>
      </c>
      <c r="K38" s="20">
        <f t="shared" ref="K38" si="35">SUM(K36:K37)</f>
        <v>546</v>
      </c>
      <c r="L38" s="20">
        <f t="shared" ref="L38" si="36">SUM(L36:L37)</f>
        <v>559</v>
      </c>
      <c r="M38" s="20">
        <f t="shared" ref="M38" si="37">SUM(M36:M37)</f>
        <v>573</v>
      </c>
      <c r="N38" s="20">
        <f t="shared" ref="N38" si="38">SUM(N36:N37)</f>
        <v>588</v>
      </c>
      <c r="O38" s="20">
        <f t="shared" ref="O38" si="39">SUM(O36:O37)</f>
        <v>603</v>
      </c>
      <c r="P38" s="20">
        <f t="shared" ref="P38" si="40">SUM(P36:P37)</f>
        <v>618</v>
      </c>
      <c r="Q38" s="20">
        <f t="shared" ref="Q38" si="41">SUM(Q36:Q37)</f>
        <v>634</v>
      </c>
      <c r="R38" s="20">
        <f t="shared" ref="R38" si="42">SUM(R36:R37)</f>
        <v>650</v>
      </c>
      <c r="S38" s="20">
        <f t="shared" ref="S38" si="43">SUM(S36:S37)</f>
        <v>667</v>
      </c>
      <c r="T38" s="20">
        <f t="shared" ref="T38" si="44">SUM(T36:T37)</f>
        <v>684</v>
      </c>
      <c r="U38" s="20">
        <f t="shared" ref="U38" si="45">SUM(U36:U37)</f>
        <v>701</v>
      </c>
    </row>
    <row r="39" spans="1:21" ht="15.05" x14ac:dyDescent="0.3">
      <c r="A39" s="13"/>
      <c r="B39" s="13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</row>
    <row r="40" spans="1:21" ht="15.05" x14ac:dyDescent="0.3">
      <c r="A40" s="13" t="s">
        <v>85</v>
      </c>
      <c r="B40" s="13"/>
      <c r="C40" s="20"/>
      <c r="E40" s="20"/>
      <c r="F40" s="20"/>
      <c r="G40" s="20">
        <f>Options!$E$32*G34</f>
        <v>61.923903164062473</v>
      </c>
      <c r="H40" s="20">
        <f>Options!$E$32*H34</f>
        <v>63.472000743164031</v>
      </c>
      <c r="I40" s="20">
        <f>Options!$E$32*I34</f>
        <v>65.058800761743129</v>
      </c>
      <c r="J40" s="20">
        <f>Options!$E$32*J34</f>
        <v>66.685270780786695</v>
      </c>
      <c r="K40" s="20">
        <f>Options!$E$32*K34</f>
        <v>68.352402550306351</v>
      </c>
      <c r="L40" s="20">
        <f>Options!$E$32*L34</f>
        <v>70.061212614064004</v>
      </c>
      <c r="M40" s="20">
        <f>Options!$E$32*M34</f>
        <v>71.812742929415606</v>
      </c>
      <c r="N40" s="20">
        <f>Options!$E$32*N34</f>
        <v>73.608061502650997</v>
      </c>
      <c r="O40" s="20">
        <f>Options!$E$32*O34</f>
        <v>75.448263040217256</v>
      </c>
      <c r="P40" s="20">
        <f>Options!$E$32*P34</f>
        <v>77.334469616222677</v>
      </c>
      <c r="Q40" s="20">
        <f>Options!$E$32*Q34</f>
        <v>79.267831356628236</v>
      </c>
      <c r="R40" s="20">
        <f>Options!$E$32*R34</f>
        <v>81.249527140543933</v>
      </c>
      <c r="S40" s="20">
        <f>Options!$E$32*S34</f>
        <v>83.280765319057522</v>
      </c>
      <c r="T40" s="20">
        <f>Options!$E$32*T34</f>
        <v>85.362784452033964</v>
      </c>
      <c r="U40" s="20">
        <f>Options!$E$32*U34</f>
        <v>87.496854063334808</v>
      </c>
    </row>
    <row r="41" spans="1:21" ht="15.05" x14ac:dyDescent="0.3">
      <c r="A41" s="13"/>
      <c r="B41" s="13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</row>
    <row r="42" spans="1:21" ht="15.05" x14ac:dyDescent="0.3">
      <c r="A42" s="13" t="s">
        <v>74</v>
      </c>
      <c r="B42" s="13"/>
      <c r="C42" s="20">
        <f>SUM(I33:U33)/15</f>
        <v>8076.8045208274934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</row>
    <row r="43" spans="1:21" ht="15.05" x14ac:dyDescent="0.3">
      <c r="A43" s="13" t="s">
        <v>75</v>
      </c>
      <c r="B43" s="13"/>
      <c r="C43" s="20">
        <f>SUM(I34:U34)/15</f>
        <v>4377.8621605644685</v>
      </c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</row>
    <row r="44" spans="1:21" ht="15.05" x14ac:dyDescent="0.3">
      <c r="A44" s="13" t="s">
        <v>72</v>
      </c>
      <c r="B44" s="13"/>
      <c r="C44" s="20">
        <f>SUM(G38:U38)/15</f>
        <v>592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</row>
  </sheetData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Options</vt:lpstr>
      <vt:lpstr>Global assumptions</vt:lpstr>
      <vt:lpstr>Timing calculations</vt:lpstr>
      <vt:lpstr>DiscountRate</vt:lpstr>
      <vt:lpstr>EvaluationPeriod</vt:lpstr>
      <vt:lpstr>Options!Print_Area</vt:lpstr>
      <vt:lpstr>YearsToImplement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Hunt</dc:creator>
  <cp:lastModifiedBy>Greg Williams</cp:lastModifiedBy>
  <cp:lastPrinted>2015-12-06T21:45:13Z</cp:lastPrinted>
  <dcterms:created xsi:type="dcterms:W3CDTF">2015-11-17T01:57:43Z</dcterms:created>
  <dcterms:modified xsi:type="dcterms:W3CDTF">2016-04-11T23:30:05Z</dcterms:modified>
</cp:coreProperties>
</file>