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620" yWindow="45" windowWidth="16320" windowHeight="12285" tabRatio="826"/>
  </bookViews>
  <sheets>
    <sheet name="Summary tables" sheetId="5" r:id="rId1"/>
    <sheet name="Costs_general" sheetId="1" r:id="rId2"/>
    <sheet name="Costs_additional audits" sheetId="15" r:id="rId3"/>
    <sheet name="Benefits_freq chng_ex DUML" sheetId="9" r:id="rId4"/>
    <sheet name="Benefits_freq chng_DUML" sheetId="13" r:id="rId5"/>
    <sheet name="Benefits_chngs in hrs per audit" sheetId="16" r:id="rId6"/>
    <sheet name="Benefits_exemption rqst reduct" sheetId="18" r:id="rId7"/>
    <sheet name="Sens Analysis_freq chng_ex DUML" sheetId="17" r:id="rId8"/>
    <sheet name="Sens Analysis_freq chng_DUML" sheetId="19" r:id="rId9"/>
    <sheet name="disc rate calcs" sheetId="2" r:id="rId10"/>
  </sheets>
  <definedNames>
    <definedName name="_ftn1" localSheetId="4">'Benefits_freq chng_DUML'!#REF!</definedName>
    <definedName name="_ftn1" localSheetId="3">'Benefits_freq chng_ex DUML'!#REF!</definedName>
    <definedName name="_ftn1" localSheetId="8">'Sens Analysis_freq chng_DUML'!#REF!</definedName>
    <definedName name="_ftn1" localSheetId="7">'Sens Analysis_freq chng_ex DUML'!#REF!</definedName>
    <definedName name="_ftnref1" localSheetId="4">'Benefits_freq chng_DUML'!#REF!</definedName>
    <definedName name="_ftnref1" localSheetId="3">'Benefits_freq chng_ex DUML'!#REF!</definedName>
    <definedName name="_ftnref1" localSheetId="8">'Sens Analysis_freq chng_DUML'!#REF!</definedName>
    <definedName name="_ftnref1" localSheetId="7">'Sens Analysis_freq chng_ex DUML'!#REF!</definedName>
    <definedName name="_Ref355173966" localSheetId="0">'Summary tables'!$G$3</definedName>
    <definedName name="_Ref355174028" localSheetId="0">'Summary tables'!#REF!</definedName>
    <definedName name="_xlnm.Print_Area" localSheetId="9">'disc rate calcs'!$A$1:$D$34</definedName>
  </definedNames>
  <calcPr calcId="145621"/>
</workbook>
</file>

<file path=xl/calcChain.xml><?xml version="1.0" encoding="utf-8"?>
<calcChain xmlns="http://schemas.openxmlformats.org/spreadsheetml/2006/main">
  <c r="C37" i="16" l="1"/>
  <c r="C64" i="16" s="1"/>
  <c r="D37" i="16"/>
  <c r="D64" i="16" s="1"/>
  <c r="E37" i="16"/>
  <c r="E64" i="16" s="1"/>
  <c r="F37" i="16"/>
  <c r="F64" i="16" s="1"/>
  <c r="G37" i="16"/>
  <c r="G64" i="16" s="1"/>
  <c r="H37" i="16"/>
  <c r="H64" i="16" s="1"/>
  <c r="I37" i="16"/>
  <c r="I64" i="16" s="1"/>
  <c r="J37" i="16"/>
  <c r="J64" i="16" s="1"/>
  <c r="K37" i="16"/>
  <c r="K64" i="16" s="1"/>
  <c r="L37" i="16"/>
  <c r="L64" i="16" s="1"/>
  <c r="M37" i="16"/>
  <c r="M64" i="16" s="1"/>
  <c r="N37" i="16"/>
  <c r="N64" i="16" s="1"/>
  <c r="O37" i="16"/>
  <c r="O64" i="16" s="1"/>
  <c r="P37" i="16"/>
  <c r="P51" i="16" s="1"/>
  <c r="Q37" i="16"/>
  <c r="Q64" i="16" s="1"/>
  <c r="R37" i="16"/>
  <c r="R64" i="16" s="1"/>
  <c r="S37" i="16"/>
  <c r="S64" i="16" s="1"/>
  <c r="T37" i="16"/>
  <c r="T64" i="16" s="1"/>
  <c r="U37" i="16"/>
  <c r="U64" i="16" s="1"/>
  <c r="B37" i="16"/>
  <c r="B64" i="16" s="1"/>
  <c r="T51" i="16" l="1"/>
  <c r="L51" i="16"/>
  <c r="D51" i="16"/>
  <c r="P64" i="16"/>
  <c r="B51" i="16"/>
  <c r="R51" i="16"/>
  <c r="N51" i="16"/>
  <c r="J51" i="16"/>
  <c r="F51" i="16"/>
  <c r="U51" i="16"/>
  <c r="Q51" i="16"/>
  <c r="M51" i="16"/>
  <c r="I51" i="16"/>
  <c r="E51" i="16"/>
  <c r="H51" i="16"/>
  <c r="S51" i="16"/>
  <c r="O51" i="16"/>
  <c r="K51" i="16"/>
  <c r="G51" i="16"/>
  <c r="C51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Q66" i="16"/>
  <c r="R66" i="16"/>
  <c r="S66" i="16"/>
  <c r="T66" i="16"/>
  <c r="U66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Q67" i="16"/>
  <c r="R67" i="16"/>
  <c r="S67" i="16"/>
  <c r="T67" i="16"/>
  <c r="U67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Q68" i="16"/>
  <c r="R68" i="16"/>
  <c r="S68" i="16"/>
  <c r="T68" i="16"/>
  <c r="U68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Q69" i="16"/>
  <c r="R69" i="16"/>
  <c r="S69" i="16"/>
  <c r="T69" i="16"/>
  <c r="U69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Q70" i="16"/>
  <c r="R70" i="16"/>
  <c r="S70" i="16"/>
  <c r="T70" i="16"/>
  <c r="U70" i="16"/>
  <c r="B67" i="16"/>
  <c r="B68" i="16"/>
  <c r="B69" i="16"/>
  <c r="B70" i="16"/>
  <c r="B66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Q61" i="16"/>
  <c r="R61" i="16"/>
  <c r="S61" i="16"/>
  <c r="T61" i="16"/>
  <c r="U61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Q62" i="16"/>
  <c r="R62" i="16"/>
  <c r="S62" i="16"/>
  <c r="T62" i="16"/>
  <c r="U62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B62" i="16"/>
  <c r="B63" i="16"/>
  <c r="B61" i="16"/>
  <c r="B80" i="19"/>
  <c r="B20" i="19"/>
  <c r="B19" i="19"/>
  <c r="B4" i="19"/>
  <c r="U64" i="19"/>
  <c r="U74" i="19" s="1"/>
  <c r="T64" i="19"/>
  <c r="T74" i="19" s="1"/>
  <c r="S64" i="19"/>
  <c r="S74" i="19" s="1"/>
  <c r="R64" i="19"/>
  <c r="R74" i="19" s="1"/>
  <c r="Q64" i="19"/>
  <c r="Q74" i="19" s="1"/>
  <c r="P64" i="19"/>
  <c r="P74" i="19" s="1"/>
  <c r="O64" i="19"/>
  <c r="O74" i="19" s="1"/>
  <c r="N64" i="19"/>
  <c r="N74" i="19" s="1"/>
  <c r="M64" i="19"/>
  <c r="M74" i="19" s="1"/>
  <c r="L64" i="19"/>
  <c r="L74" i="19" s="1"/>
  <c r="K64" i="19"/>
  <c r="K74" i="19" s="1"/>
  <c r="J64" i="19"/>
  <c r="J74" i="19" s="1"/>
  <c r="I64" i="19"/>
  <c r="I74" i="19" s="1"/>
  <c r="H64" i="19"/>
  <c r="H74" i="19" s="1"/>
  <c r="G64" i="19"/>
  <c r="G74" i="19" s="1"/>
  <c r="F64" i="19"/>
  <c r="F74" i="19" s="1"/>
  <c r="E64" i="19"/>
  <c r="E74" i="19" s="1"/>
  <c r="D64" i="19"/>
  <c r="D74" i="19" s="1"/>
  <c r="C64" i="19"/>
  <c r="C74" i="19" s="1"/>
  <c r="B63" i="19"/>
  <c r="B64" i="19" s="1"/>
  <c r="U47" i="19"/>
  <c r="U57" i="19" s="1"/>
  <c r="T47" i="19"/>
  <c r="T57" i="19" s="1"/>
  <c r="S47" i="19"/>
  <c r="S57" i="19" s="1"/>
  <c r="R47" i="19"/>
  <c r="R57" i="19" s="1"/>
  <c r="Q47" i="19"/>
  <c r="Q57" i="19" s="1"/>
  <c r="P47" i="19"/>
  <c r="P57" i="19" s="1"/>
  <c r="O47" i="19"/>
  <c r="O57" i="19" s="1"/>
  <c r="N47" i="19"/>
  <c r="N57" i="19" s="1"/>
  <c r="M47" i="19"/>
  <c r="M57" i="19" s="1"/>
  <c r="L47" i="19"/>
  <c r="L57" i="19" s="1"/>
  <c r="K47" i="19"/>
  <c r="K57" i="19" s="1"/>
  <c r="J47" i="19"/>
  <c r="J57" i="19" s="1"/>
  <c r="I47" i="19"/>
  <c r="I57" i="19" s="1"/>
  <c r="H47" i="19"/>
  <c r="H57" i="19" s="1"/>
  <c r="G47" i="19"/>
  <c r="G57" i="19" s="1"/>
  <c r="F47" i="19"/>
  <c r="F57" i="19" s="1"/>
  <c r="E47" i="19"/>
  <c r="E57" i="19" s="1"/>
  <c r="D47" i="19"/>
  <c r="D57" i="19" s="1"/>
  <c r="C47" i="19"/>
  <c r="C57" i="19" s="1"/>
  <c r="B46" i="19"/>
  <c r="B47" i="19" s="1"/>
  <c r="U30" i="19"/>
  <c r="U40" i="19" s="1"/>
  <c r="T30" i="19"/>
  <c r="T40" i="19" s="1"/>
  <c r="S30" i="19"/>
  <c r="S40" i="19" s="1"/>
  <c r="R30" i="19"/>
  <c r="R40" i="19" s="1"/>
  <c r="Q30" i="19"/>
  <c r="Q40" i="19" s="1"/>
  <c r="P30" i="19"/>
  <c r="P40" i="19" s="1"/>
  <c r="O30" i="19"/>
  <c r="O40" i="19" s="1"/>
  <c r="N30" i="19"/>
  <c r="N40" i="19" s="1"/>
  <c r="M30" i="19"/>
  <c r="M40" i="19" s="1"/>
  <c r="L30" i="19"/>
  <c r="L40" i="19" s="1"/>
  <c r="K30" i="19"/>
  <c r="K40" i="19" s="1"/>
  <c r="J30" i="19"/>
  <c r="J40" i="19" s="1"/>
  <c r="I30" i="19"/>
  <c r="I40" i="19" s="1"/>
  <c r="H30" i="19"/>
  <c r="H40" i="19" s="1"/>
  <c r="G30" i="19"/>
  <c r="G40" i="19" s="1"/>
  <c r="F30" i="19"/>
  <c r="F40" i="19" s="1"/>
  <c r="E30" i="19"/>
  <c r="E40" i="19" s="1"/>
  <c r="D30" i="19"/>
  <c r="D40" i="19" s="1"/>
  <c r="C30" i="19"/>
  <c r="C40" i="19" s="1"/>
  <c r="B29" i="19"/>
  <c r="B30" i="19" s="1"/>
  <c r="U13" i="19"/>
  <c r="T13" i="19"/>
  <c r="T23" i="19" s="1"/>
  <c r="S13" i="19"/>
  <c r="R13" i="19"/>
  <c r="Q13" i="19"/>
  <c r="P13" i="19"/>
  <c r="P23" i="19" s="1"/>
  <c r="O13" i="19"/>
  <c r="N13" i="19"/>
  <c r="N23" i="19" s="1"/>
  <c r="M13" i="19"/>
  <c r="L13" i="19"/>
  <c r="L23" i="19" s="1"/>
  <c r="K13" i="19"/>
  <c r="J13" i="19"/>
  <c r="J23" i="19" s="1"/>
  <c r="I13" i="19"/>
  <c r="H13" i="19"/>
  <c r="H23" i="19" s="1"/>
  <c r="G13" i="19"/>
  <c r="F13" i="19"/>
  <c r="F23" i="19" s="1"/>
  <c r="E13" i="19"/>
  <c r="D13" i="19"/>
  <c r="D23" i="19" s="1"/>
  <c r="C13" i="19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B55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U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R50" i="16"/>
  <c r="S50" i="16"/>
  <c r="T50" i="16"/>
  <c r="U50" i="16"/>
  <c r="B49" i="16"/>
  <c r="B50" i="16"/>
  <c r="B48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Q53" i="16"/>
  <c r="R53" i="16"/>
  <c r="S53" i="16"/>
  <c r="T53" i="16"/>
  <c r="U53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Q54" i="16"/>
  <c r="R54" i="16"/>
  <c r="S54" i="16"/>
  <c r="T54" i="16"/>
  <c r="U54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Q55" i="16"/>
  <c r="R55" i="16"/>
  <c r="S55" i="16"/>
  <c r="T55" i="16"/>
  <c r="U55" i="16"/>
  <c r="B53" i="16"/>
  <c r="B54" i="16"/>
  <c r="D5" i="18"/>
  <c r="B10" i="18" s="1"/>
  <c r="B11" i="18" s="1"/>
  <c r="D4" i="18"/>
  <c r="R23" i="19" l="1"/>
  <c r="C23" i="19"/>
  <c r="E23" i="19"/>
  <c r="G23" i="19"/>
  <c r="I23" i="19"/>
  <c r="K23" i="19"/>
  <c r="M23" i="19"/>
  <c r="O23" i="19"/>
  <c r="Q23" i="19"/>
  <c r="S23" i="19"/>
  <c r="U23" i="19"/>
  <c r="B57" i="19"/>
  <c r="B40" i="19"/>
  <c r="B74" i="19"/>
  <c r="N25" i="17"/>
  <c r="N30" i="17"/>
  <c r="N37" i="17"/>
  <c r="N42" i="17"/>
  <c r="N66" i="17"/>
  <c r="N71" i="17"/>
  <c r="N124" i="17"/>
  <c r="N119" i="17"/>
  <c r="N112" i="17"/>
  <c r="N107" i="17"/>
  <c r="B141" i="17"/>
  <c r="B142" i="17"/>
  <c r="B143" i="17"/>
  <c r="B144" i="17"/>
  <c r="B145" i="17"/>
  <c r="B146" i="17"/>
  <c r="N83" i="17"/>
  <c r="N78" i="17"/>
  <c r="B157" i="17"/>
  <c r="B155" i="17"/>
  <c r="B5" i="17"/>
  <c r="C5" i="17"/>
  <c r="D5" i="17"/>
  <c r="E5" i="17"/>
  <c r="F5" i="17"/>
  <c r="G5" i="17"/>
  <c r="B6" i="17"/>
  <c r="C6" i="17"/>
  <c r="D6" i="17"/>
  <c r="E6" i="17"/>
  <c r="F6" i="17"/>
  <c r="G6" i="17"/>
  <c r="B7" i="17"/>
  <c r="C7" i="17"/>
  <c r="D7" i="17"/>
  <c r="E7" i="17"/>
  <c r="F7" i="17"/>
  <c r="G7" i="17"/>
  <c r="C4" i="17"/>
  <c r="D4" i="17"/>
  <c r="E4" i="17"/>
  <c r="F4" i="17"/>
  <c r="G4" i="17"/>
  <c r="B4" i="17"/>
  <c r="N41" i="9"/>
  <c r="N36" i="9"/>
  <c r="N29" i="9"/>
  <c r="N24" i="9"/>
  <c r="B44" i="1"/>
  <c r="B43" i="1"/>
  <c r="B28" i="1"/>
  <c r="B67" i="9"/>
  <c r="K40" i="9"/>
  <c r="J40" i="9"/>
  <c r="I40" i="9"/>
  <c r="H40" i="9"/>
  <c r="K39" i="9"/>
  <c r="J39" i="9"/>
  <c r="I39" i="9"/>
  <c r="H39" i="9"/>
  <c r="K35" i="9"/>
  <c r="J35" i="9"/>
  <c r="I35" i="9"/>
  <c r="H35" i="9"/>
  <c r="K34" i="9"/>
  <c r="J34" i="9"/>
  <c r="I34" i="9"/>
  <c r="H34" i="9"/>
  <c r="K33" i="9"/>
  <c r="J33" i="9"/>
  <c r="I33" i="9"/>
  <c r="H33" i="9"/>
  <c r="I27" i="9"/>
  <c r="J27" i="9"/>
  <c r="K27" i="9"/>
  <c r="I28" i="9"/>
  <c r="J28" i="9"/>
  <c r="K28" i="9"/>
  <c r="I21" i="9"/>
  <c r="J21" i="9"/>
  <c r="K21" i="9"/>
  <c r="I22" i="9"/>
  <c r="J22" i="9"/>
  <c r="K22" i="9"/>
  <c r="I23" i="9"/>
  <c r="J23" i="9"/>
  <c r="K23" i="9"/>
  <c r="H28" i="9"/>
  <c r="H27" i="9"/>
  <c r="H23" i="9"/>
  <c r="H22" i="9"/>
  <c r="H21" i="9"/>
  <c r="N21" i="9" l="1"/>
  <c r="B48" i="9" s="1"/>
  <c r="N23" i="9"/>
  <c r="B50" i="9" s="1"/>
  <c r="N28" i="9"/>
  <c r="L33" i="9"/>
  <c r="H29" i="17"/>
  <c r="H28" i="17"/>
  <c r="J77" i="17"/>
  <c r="J76" i="17"/>
  <c r="J75" i="17"/>
  <c r="E8" i="17"/>
  <c r="J7" i="17"/>
  <c r="B8" i="17"/>
  <c r="F8" i="17"/>
  <c r="D8" i="17"/>
  <c r="B150" i="17"/>
  <c r="B152" i="17" s="1"/>
  <c r="G8" i="17"/>
  <c r="J5" i="17"/>
  <c r="C8" i="17"/>
  <c r="K70" i="17"/>
  <c r="I70" i="17"/>
  <c r="K69" i="17"/>
  <c r="I69" i="17"/>
  <c r="J65" i="17"/>
  <c r="H65" i="17"/>
  <c r="J64" i="17"/>
  <c r="H64" i="17"/>
  <c r="J63" i="17"/>
  <c r="H63" i="17"/>
  <c r="K41" i="17"/>
  <c r="I41" i="17"/>
  <c r="K40" i="17"/>
  <c r="I40" i="17"/>
  <c r="J36" i="17"/>
  <c r="H36" i="17"/>
  <c r="J35" i="17"/>
  <c r="H35" i="17"/>
  <c r="J34" i="17"/>
  <c r="H34" i="17"/>
  <c r="K29" i="17"/>
  <c r="I29" i="17"/>
  <c r="K28" i="17"/>
  <c r="I28" i="17"/>
  <c r="J24" i="17"/>
  <c r="H24" i="17"/>
  <c r="J23" i="17"/>
  <c r="H23" i="17"/>
  <c r="J22" i="17"/>
  <c r="H22" i="17"/>
  <c r="J70" i="17"/>
  <c r="H70" i="17"/>
  <c r="J69" i="17"/>
  <c r="H69" i="17"/>
  <c r="K65" i="17"/>
  <c r="I65" i="17"/>
  <c r="K64" i="17"/>
  <c r="I64" i="17"/>
  <c r="K63" i="17"/>
  <c r="I63" i="17"/>
  <c r="J41" i="17"/>
  <c r="H41" i="17"/>
  <c r="J40" i="17"/>
  <c r="H40" i="17"/>
  <c r="K36" i="17"/>
  <c r="I36" i="17"/>
  <c r="K35" i="17"/>
  <c r="I35" i="17"/>
  <c r="K34" i="17"/>
  <c r="I34" i="17"/>
  <c r="J29" i="17"/>
  <c r="J28" i="17"/>
  <c r="K24" i="17"/>
  <c r="I24" i="17"/>
  <c r="K23" i="17"/>
  <c r="I23" i="17"/>
  <c r="K22" i="17"/>
  <c r="I22" i="17"/>
  <c r="I104" i="17"/>
  <c r="K104" i="17"/>
  <c r="I105" i="17"/>
  <c r="K105" i="17"/>
  <c r="I106" i="17"/>
  <c r="K106" i="17"/>
  <c r="H110" i="17"/>
  <c r="J110" i="17"/>
  <c r="H111" i="17"/>
  <c r="J111" i="17"/>
  <c r="I116" i="17"/>
  <c r="K116" i="17"/>
  <c r="I117" i="17"/>
  <c r="K117" i="17"/>
  <c r="I118" i="17"/>
  <c r="K118" i="17"/>
  <c r="H122" i="17"/>
  <c r="J122" i="17"/>
  <c r="H123" i="17"/>
  <c r="J123" i="17"/>
  <c r="H104" i="17"/>
  <c r="J104" i="17"/>
  <c r="H105" i="17"/>
  <c r="J105" i="17"/>
  <c r="H106" i="17"/>
  <c r="J106" i="17"/>
  <c r="I110" i="17"/>
  <c r="K110" i="17"/>
  <c r="I111" i="17"/>
  <c r="K111" i="17"/>
  <c r="H116" i="17"/>
  <c r="J116" i="17"/>
  <c r="H117" i="17"/>
  <c r="J117" i="17"/>
  <c r="H118" i="17"/>
  <c r="J118" i="17"/>
  <c r="I122" i="17"/>
  <c r="K122" i="17"/>
  <c r="I123" i="17"/>
  <c r="K123" i="17"/>
  <c r="I75" i="17"/>
  <c r="K75" i="17"/>
  <c r="I76" i="17"/>
  <c r="K76" i="17"/>
  <c r="I77" i="17"/>
  <c r="K77" i="17"/>
  <c r="H81" i="17"/>
  <c r="J81" i="17"/>
  <c r="H82" i="17"/>
  <c r="J82" i="17"/>
  <c r="H75" i="17"/>
  <c r="H76" i="17"/>
  <c r="H77" i="17"/>
  <c r="I81" i="17"/>
  <c r="K81" i="17"/>
  <c r="I82" i="17"/>
  <c r="K82" i="17"/>
  <c r="J4" i="17"/>
  <c r="J6" i="17"/>
  <c r="L34" i="9"/>
  <c r="L35" i="9"/>
  <c r="L39" i="9"/>
  <c r="L40" i="9"/>
  <c r="N27" i="9"/>
  <c r="B54" i="9"/>
  <c r="N22" i="9"/>
  <c r="N35" i="9"/>
  <c r="N39" i="9"/>
  <c r="N33" i="9"/>
  <c r="N34" i="9"/>
  <c r="N40" i="9"/>
  <c r="L28" i="9"/>
  <c r="L27" i="9"/>
  <c r="L22" i="9"/>
  <c r="L23" i="9"/>
  <c r="L21" i="9"/>
  <c r="E23" i="1"/>
  <c r="B6" i="5" s="1"/>
  <c r="F23" i="1"/>
  <c r="C6" i="5" s="1"/>
  <c r="G23" i="1"/>
  <c r="D6" i="5" s="1"/>
  <c r="B19" i="15"/>
  <c r="B29" i="15" s="1"/>
  <c r="B52" i="1"/>
  <c r="B48" i="1"/>
  <c r="D6" i="16"/>
  <c r="E25" i="1"/>
  <c r="B8" i="5" s="1"/>
  <c r="F25" i="1"/>
  <c r="C8" i="5" s="1"/>
  <c r="G25" i="1"/>
  <c r="D8" i="5" s="1"/>
  <c r="B22" i="1"/>
  <c r="G22" i="1" s="1"/>
  <c r="D5" i="5" s="1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B20" i="13"/>
  <c r="B9" i="13"/>
  <c r="J5" i="9"/>
  <c r="J6" i="9"/>
  <c r="J7" i="9"/>
  <c r="J4" i="9"/>
  <c r="C8" i="9"/>
  <c r="D8" i="9"/>
  <c r="E8" i="9"/>
  <c r="F8" i="9"/>
  <c r="G8" i="9"/>
  <c r="B8" i="9"/>
  <c r="S21" i="16" l="1"/>
  <c r="K21" i="16"/>
  <c r="C21" i="16"/>
  <c r="J21" i="16"/>
  <c r="B21" i="16"/>
  <c r="M21" i="16"/>
  <c r="E21" i="16"/>
  <c r="L21" i="16"/>
  <c r="R21" i="16"/>
  <c r="H21" i="16"/>
  <c r="C10" i="13"/>
  <c r="C26" i="16" s="1"/>
  <c r="B12" i="19"/>
  <c r="D32" i="13"/>
  <c r="B77" i="19"/>
  <c r="B92" i="19" s="1"/>
  <c r="B32" i="13"/>
  <c r="J8" i="17"/>
  <c r="J10" i="17" s="1"/>
  <c r="J14" i="17" s="1"/>
  <c r="N28" i="17"/>
  <c r="N29" i="17"/>
  <c r="L28" i="17"/>
  <c r="L29" i="17"/>
  <c r="L40" i="17"/>
  <c r="N40" i="17"/>
  <c r="S54" i="17" s="1"/>
  <c r="L41" i="17"/>
  <c r="N41" i="17"/>
  <c r="M55" i="17" s="1"/>
  <c r="L69" i="17"/>
  <c r="N69" i="17"/>
  <c r="L70" i="17"/>
  <c r="N70" i="17"/>
  <c r="N22" i="17"/>
  <c r="L22" i="17"/>
  <c r="N23" i="17"/>
  <c r="B50" i="17" s="1"/>
  <c r="L23" i="17"/>
  <c r="N24" i="17"/>
  <c r="L24" i="17"/>
  <c r="N34" i="17"/>
  <c r="U49" i="17" s="1"/>
  <c r="L34" i="17"/>
  <c r="N35" i="17"/>
  <c r="L35" i="17"/>
  <c r="N36" i="17"/>
  <c r="M51" i="17" s="1"/>
  <c r="L36" i="17"/>
  <c r="N63" i="17"/>
  <c r="L63" i="17"/>
  <c r="N64" i="17"/>
  <c r="L64" i="17"/>
  <c r="N65" i="17"/>
  <c r="L65" i="17"/>
  <c r="N49" i="17"/>
  <c r="L54" i="17"/>
  <c r="L118" i="17"/>
  <c r="N118" i="17"/>
  <c r="L117" i="17"/>
  <c r="N117" i="17"/>
  <c r="L116" i="17"/>
  <c r="N116" i="17"/>
  <c r="L106" i="17"/>
  <c r="N106" i="17"/>
  <c r="L105" i="17"/>
  <c r="N105" i="17"/>
  <c r="L104" i="17"/>
  <c r="N104" i="17"/>
  <c r="N123" i="17"/>
  <c r="L123" i="17"/>
  <c r="N122" i="17"/>
  <c r="L122" i="17"/>
  <c r="N111" i="17"/>
  <c r="L111" i="17"/>
  <c r="N110" i="17"/>
  <c r="L110" i="17"/>
  <c r="B51" i="17"/>
  <c r="L55" i="17"/>
  <c r="L77" i="17"/>
  <c r="N77" i="17"/>
  <c r="L75" i="17"/>
  <c r="N75" i="17"/>
  <c r="N82" i="17"/>
  <c r="L82" i="17"/>
  <c r="N81" i="17"/>
  <c r="L81" i="17"/>
  <c r="L76" i="17"/>
  <c r="N76" i="17"/>
  <c r="G54" i="9"/>
  <c r="I54" i="9"/>
  <c r="K54" i="9"/>
  <c r="M54" i="9"/>
  <c r="O54" i="9"/>
  <c r="Q54" i="9"/>
  <c r="S54" i="9"/>
  <c r="U54" i="9"/>
  <c r="H54" i="9"/>
  <c r="J54" i="9"/>
  <c r="L54" i="9"/>
  <c r="N54" i="9"/>
  <c r="P54" i="9"/>
  <c r="R54" i="9"/>
  <c r="T54" i="9"/>
  <c r="I48" i="9"/>
  <c r="K48" i="9"/>
  <c r="M48" i="9"/>
  <c r="O48" i="9"/>
  <c r="Q48" i="9"/>
  <c r="S48" i="9"/>
  <c r="U48" i="9"/>
  <c r="H48" i="9"/>
  <c r="J48" i="9"/>
  <c r="L48" i="9"/>
  <c r="N48" i="9"/>
  <c r="P48" i="9"/>
  <c r="R48" i="9"/>
  <c r="T48" i="9"/>
  <c r="G48" i="9"/>
  <c r="I50" i="9"/>
  <c r="K50" i="9"/>
  <c r="M50" i="9"/>
  <c r="O50" i="9"/>
  <c r="Q50" i="9"/>
  <c r="S50" i="9"/>
  <c r="U50" i="9"/>
  <c r="H50" i="9"/>
  <c r="J50" i="9"/>
  <c r="L50" i="9"/>
  <c r="N50" i="9"/>
  <c r="P50" i="9"/>
  <c r="R50" i="9"/>
  <c r="T50" i="9"/>
  <c r="G50" i="9"/>
  <c r="D53" i="9"/>
  <c r="F53" i="9"/>
  <c r="B53" i="9"/>
  <c r="C53" i="9"/>
  <c r="E53" i="9"/>
  <c r="I49" i="9"/>
  <c r="K49" i="9"/>
  <c r="M49" i="9"/>
  <c r="O49" i="9"/>
  <c r="Q49" i="9"/>
  <c r="S49" i="9"/>
  <c r="U49" i="9"/>
  <c r="G49" i="9"/>
  <c r="H49" i="9"/>
  <c r="J49" i="9"/>
  <c r="L49" i="9"/>
  <c r="N49" i="9"/>
  <c r="P49" i="9"/>
  <c r="R49" i="9"/>
  <c r="T49" i="9"/>
  <c r="H53" i="9"/>
  <c r="J53" i="9"/>
  <c r="L53" i="9"/>
  <c r="N53" i="9"/>
  <c r="P53" i="9"/>
  <c r="R53" i="9"/>
  <c r="T53" i="9"/>
  <c r="G53" i="9"/>
  <c r="I53" i="9"/>
  <c r="K53" i="9"/>
  <c r="M53" i="9"/>
  <c r="O53" i="9"/>
  <c r="Q53" i="9"/>
  <c r="S53" i="9"/>
  <c r="U53" i="9"/>
  <c r="C49" i="9"/>
  <c r="E49" i="9"/>
  <c r="B49" i="9"/>
  <c r="D49" i="9"/>
  <c r="F49" i="9"/>
  <c r="F54" i="9"/>
  <c r="E50" i="9"/>
  <c r="C54" i="9"/>
  <c r="F48" i="9"/>
  <c r="F50" i="9"/>
  <c r="C50" i="9"/>
  <c r="E48" i="9"/>
  <c r="E54" i="9"/>
  <c r="D48" i="9"/>
  <c r="D50" i="9"/>
  <c r="D54" i="9"/>
  <c r="C48" i="9"/>
  <c r="U32" i="13"/>
  <c r="S32" i="13"/>
  <c r="Q32" i="13"/>
  <c r="O32" i="13"/>
  <c r="M32" i="13"/>
  <c r="K32" i="13"/>
  <c r="I32" i="13"/>
  <c r="G32" i="13"/>
  <c r="E32" i="13"/>
  <c r="C32" i="13"/>
  <c r="T32" i="13"/>
  <c r="R32" i="13"/>
  <c r="P32" i="13"/>
  <c r="N32" i="13"/>
  <c r="L32" i="13"/>
  <c r="J32" i="13"/>
  <c r="H32" i="13"/>
  <c r="F32" i="13"/>
  <c r="B10" i="13"/>
  <c r="B28" i="13" s="1"/>
  <c r="B69" i="9"/>
  <c r="B7" i="15" s="1"/>
  <c r="B13" i="15" s="1"/>
  <c r="J8" i="9"/>
  <c r="J10" i="9" s="1"/>
  <c r="B12" i="16" s="1"/>
  <c r="T55" i="17" l="1"/>
  <c r="T191" i="17" s="1"/>
  <c r="J50" i="17"/>
  <c r="C50" i="17"/>
  <c r="T21" i="16"/>
  <c r="P21" i="16"/>
  <c r="Q21" i="16"/>
  <c r="N21" i="16"/>
  <c r="O21" i="16"/>
  <c r="O55" i="17"/>
  <c r="D21" i="16"/>
  <c r="I21" i="16"/>
  <c r="F21" i="16"/>
  <c r="G21" i="16"/>
  <c r="U21" i="16"/>
  <c r="P55" i="17"/>
  <c r="S55" i="17"/>
  <c r="T54" i="17"/>
  <c r="O54" i="17"/>
  <c r="J13" i="17"/>
  <c r="E49" i="17"/>
  <c r="R50" i="17"/>
  <c r="R185" i="17" s="1"/>
  <c r="I50" i="17"/>
  <c r="I185" i="17" s="1"/>
  <c r="F50" i="17"/>
  <c r="M49" i="17"/>
  <c r="G17" i="16"/>
  <c r="I17" i="16"/>
  <c r="K17" i="16"/>
  <c r="M17" i="16"/>
  <c r="O17" i="16"/>
  <c r="Q17" i="16"/>
  <c r="S17" i="16"/>
  <c r="U17" i="16"/>
  <c r="H18" i="16"/>
  <c r="J18" i="16"/>
  <c r="L18" i="16"/>
  <c r="N18" i="16"/>
  <c r="P18" i="16"/>
  <c r="R18" i="16"/>
  <c r="T18" i="16"/>
  <c r="C12" i="16"/>
  <c r="E12" i="16"/>
  <c r="G12" i="16"/>
  <c r="I12" i="16"/>
  <c r="K12" i="16"/>
  <c r="M12" i="16"/>
  <c r="O12" i="16"/>
  <c r="Q12" i="16"/>
  <c r="S12" i="16"/>
  <c r="U12" i="16"/>
  <c r="H13" i="16"/>
  <c r="J13" i="16"/>
  <c r="L13" i="16"/>
  <c r="N13" i="16"/>
  <c r="P13" i="16"/>
  <c r="R13" i="16"/>
  <c r="T13" i="16"/>
  <c r="G14" i="16"/>
  <c r="I14" i="16"/>
  <c r="K14" i="16"/>
  <c r="M14" i="16"/>
  <c r="O14" i="16"/>
  <c r="Q14" i="16"/>
  <c r="S14" i="16"/>
  <c r="U14" i="16"/>
  <c r="H17" i="16"/>
  <c r="J17" i="16"/>
  <c r="L17" i="16"/>
  <c r="N17" i="16"/>
  <c r="P17" i="16"/>
  <c r="R17" i="16"/>
  <c r="T17" i="16"/>
  <c r="G18" i="16"/>
  <c r="I18" i="16"/>
  <c r="K18" i="16"/>
  <c r="M18" i="16"/>
  <c r="O18" i="16"/>
  <c r="Q18" i="16"/>
  <c r="S18" i="16"/>
  <c r="U18" i="16"/>
  <c r="D12" i="16"/>
  <c r="F12" i="16"/>
  <c r="H12" i="16"/>
  <c r="J12" i="16"/>
  <c r="L12" i="16"/>
  <c r="N12" i="16"/>
  <c r="P12" i="16"/>
  <c r="R12" i="16"/>
  <c r="T12" i="16"/>
  <c r="G13" i="16"/>
  <c r="I13" i="16"/>
  <c r="K13" i="16"/>
  <c r="M13" i="16"/>
  <c r="O13" i="16"/>
  <c r="Q13" i="16"/>
  <c r="S13" i="16"/>
  <c r="U13" i="16"/>
  <c r="H14" i="16"/>
  <c r="J14" i="16"/>
  <c r="L14" i="16"/>
  <c r="N14" i="16"/>
  <c r="P14" i="16"/>
  <c r="R14" i="16"/>
  <c r="T14" i="16"/>
  <c r="E22" i="16"/>
  <c r="I22" i="16"/>
  <c r="M22" i="16"/>
  <c r="Q22" i="16"/>
  <c r="U22" i="16"/>
  <c r="F22" i="16"/>
  <c r="J22" i="16"/>
  <c r="N22" i="16"/>
  <c r="R22" i="16"/>
  <c r="B22" i="16"/>
  <c r="C20" i="16"/>
  <c r="G20" i="16"/>
  <c r="K20" i="16"/>
  <c r="O20" i="16"/>
  <c r="S20" i="16"/>
  <c r="D20" i="16"/>
  <c r="H20" i="16"/>
  <c r="L20" i="16"/>
  <c r="P20" i="16"/>
  <c r="T20" i="16"/>
  <c r="B14" i="16"/>
  <c r="C22" i="16"/>
  <c r="G22" i="16"/>
  <c r="K22" i="16"/>
  <c r="O22" i="16"/>
  <c r="S22" i="16"/>
  <c r="D22" i="16"/>
  <c r="H22" i="16"/>
  <c r="L22" i="16"/>
  <c r="P22" i="16"/>
  <c r="T22" i="16"/>
  <c r="B18" i="16"/>
  <c r="E20" i="16"/>
  <c r="I20" i="16"/>
  <c r="M20" i="16"/>
  <c r="Q20" i="16"/>
  <c r="U20" i="16"/>
  <c r="F20" i="16"/>
  <c r="J20" i="16"/>
  <c r="N20" i="16"/>
  <c r="R20" i="16"/>
  <c r="B20" i="16"/>
  <c r="D18" i="16"/>
  <c r="C18" i="16"/>
  <c r="D13" i="16"/>
  <c r="E17" i="16"/>
  <c r="B17" i="16"/>
  <c r="B24" i="16" s="1"/>
  <c r="B76" i="16" s="1"/>
  <c r="Q50" i="17"/>
  <c r="P51" i="17"/>
  <c r="O50" i="17"/>
  <c r="M50" i="17"/>
  <c r="U50" i="17"/>
  <c r="N50" i="17"/>
  <c r="O49" i="17"/>
  <c r="Q49" i="17"/>
  <c r="R49" i="17"/>
  <c r="G51" i="17"/>
  <c r="C51" i="17"/>
  <c r="F51" i="17"/>
  <c r="B49" i="17"/>
  <c r="I49" i="17"/>
  <c r="J49" i="17"/>
  <c r="F49" i="17"/>
  <c r="F14" i="16"/>
  <c r="F18" i="16"/>
  <c r="E13" i="16"/>
  <c r="D17" i="16"/>
  <c r="D14" i="16"/>
  <c r="E18" i="16"/>
  <c r="C14" i="16"/>
  <c r="E14" i="16"/>
  <c r="F13" i="16"/>
  <c r="B13" i="16"/>
  <c r="C13" i="16"/>
  <c r="C17" i="16"/>
  <c r="F17" i="16"/>
  <c r="C103" i="16"/>
  <c r="C114" i="16"/>
  <c r="C97" i="16"/>
  <c r="C79" i="16"/>
  <c r="I55" i="17"/>
  <c r="D121" i="16"/>
  <c r="I54" i="17"/>
  <c r="P54" i="17"/>
  <c r="N55" i="17"/>
  <c r="Q55" i="17"/>
  <c r="R54" i="17"/>
  <c r="U54" i="17"/>
  <c r="M54" i="17"/>
  <c r="R55" i="17"/>
  <c r="U55" i="17"/>
  <c r="U191" i="17" s="1"/>
  <c r="N54" i="17"/>
  <c r="Q54" i="17"/>
  <c r="B13" i="19"/>
  <c r="B23" i="19" s="1"/>
  <c r="C120" i="16"/>
  <c r="C85" i="16"/>
  <c r="U92" i="19"/>
  <c r="B85" i="19"/>
  <c r="D92" i="19"/>
  <c r="H92" i="19"/>
  <c r="L92" i="19"/>
  <c r="P92" i="19"/>
  <c r="T92" i="19"/>
  <c r="C92" i="19"/>
  <c r="G92" i="19"/>
  <c r="K92" i="19"/>
  <c r="O92" i="19"/>
  <c r="S92" i="19"/>
  <c r="F92" i="19"/>
  <c r="J92" i="19"/>
  <c r="N92" i="19"/>
  <c r="R92" i="19"/>
  <c r="E92" i="19"/>
  <c r="I92" i="19"/>
  <c r="M92" i="19"/>
  <c r="Q92" i="19"/>
  <c r="B26" i="16"/>
  <c r="T51" i="17"/>
  <c r="H51" i="17"/>
  <c r="L51" i="17"/>
  <c r="O51" i="17"/>
  <c r="S51" i="17"/>
  <c r="K51" i="17"/>
  <c r="J12" i="17"/>
  <c r="B161" i="17" s="1"/>
  <c r="I51" i="17"/>
  <c r="E50" i="17"/>
  <c r="E185" i="17" s="1"/>
  <c r="H95" i="17"/>
  <c r="J95" i="17"/>
  <c r="L95" i="17"/>
  <c r="N95" i="17"/>
  <c r="P95" i="17"/>
  <c r="R95" i="17"/>
  <c r="T95" i="17"/>
  <c r="G95" i="17"/>
  <c r="I95" i="17"/>
  <c r="K95" i="17"/>
  <c r="M95" i="17"/>
  <c r="O95" i="17"/>
  <c r="Q95" i="17"/>
  <c r="S95" i="17"/>
  <c r="U95" i="17"/>
  <c r="G96" i="17"/>
  <c r="G207" i="17" s="1"/>
  <c r="I96" i="17"/>
  <c r="I207" i="17" s="1"/>
  <c r="K96" i="17"/>
  <c r="K207" i="17" s="1"/>
  <c r="M96" i="17"/>
  <c r="M207" i="17" s="1"/>
  <c r="O96" i="17"/>
  <c r="O207" i="17" s="1"/>
  <c r="Q96" i="17"/>
  <c r="Q207" i="17" s="1"/>
  <c r="S96" i="17"/>
  <c r="S207" i="17" s="1"/>
  <c r="U96" i="17"/>
  <c r="U207" i="17" s="1"/>
  <c r="H96" i="17"/>
  <c r="H207" i="17" s="1"/>
  <c r="J96" i="17"/>
  <c r="J207" i="17" s="1"/>
  <c r="L96" i="17"/>
  <c r="L207" i="17" s="1"/>
  <c r="N96" i="17"/>
  <c r="N207" i="17" s="1"/>
  <c r="P96" i="17"/>
  <c r="P207" i="17" s="1"/>
  <c r="R96" i="17"/>
  <c r="R207" i="17" s="1"/>
  <c r="T96" i="17"/>
  <c r="T207" i="17" s="1"/>
  <c r="D131" i="17"/>
  <c r="F131" i="17"/>
  <c r="H131" i="17"/>
  <c r="J131" i="17"/>
  <c r="B131" i="17"/>
  <c r="C131" i="17"/>
  <c r="E131" i="17"/>
  <c r="G131" i="17"/>
  <c r="I131" i="17"/>
  <c r="K131" i="17"/>
  <c r="C132" i="17"/>
  <c r="C217" i="17" s="1"/>
  <c r="E132" i="17"/>
  <c r="E217" i="17" s="1"/>
  <c r="G132" i="17"/>
  <c r="G217" i="17" s="1"/>
  <c r="I132" i="17"/>
  <c r="I217" i="17" s="1"/>
  <c r="K132" i="17"/>
  <c r="K217" i="17" s="1"/>
  <c r="B132" i="17"/>
  <c r="B217" i="17" s="1"/>
  <c r="D132" i="17"/>
  <c r="D217" i="17" s="1"/>
  <c r="F132" i="17"/>
  <c r="F217" i="17" s="1"/>
  <c r="H132" i="17"/>
  <c r="H217" i="17" s="1"/>
  <c r="J132" i="17"/>
  <c r="J217" i="17" s="1"/>
  <c r="D133" i="17"/>
  <c r="F133" i="17"/>
  <c r="H133" i="17"/>
  <c r="J133" i="17"/>
  <c r="C133" i="17"/>
  <c r="E133" i="17"/>
  <c r="G133" i="17"/>
  <c r="I133" i="17"/>
  <c r="K133" i="17"/>
  <c r="B133" i="17"/>
  <c r="L131" i="17"/>
  <c r="N131" i="17"/>
  <c r="P131" i="17"/>
  <c r="R131" i="17"/>
  <c r="T131" i="17"/>
  <c r="M131" i="17"/>
  <c r="O131" i="17"/>
  <c r="Q131" i="17"/>
  <c r="S131" i="17"/>
  <c r="U131" i="17"/>
  <c r="M132" i="17"/>
  <c r="M217" i="17" s="1"/>
  <c r="O132" i="17"/>
  <c r="O217" i="17" s="1"/>
  <c r="Q132" i="17"/>
  <c r="Q217" i="17" s="1"/>
  <c r="S132" i="17"/>
  <c r="S217" i="17" s="1"/>
  <c r="U132" i="17"/>
  <c r="U217" i="17" s="1"/>
  <c r="L132" i="17"/>
  <c r="L217" i="17" s="1"/>
  <c r="N132" i="17"/>
  <c r="N217" i="17" s="1"/>
  <c r="P132" i="17"/>
  <c r="P217" i="17" s="1"/>
  <c r="R132" i="17"/>
  <c r="R217" i="17" s="1"/>
  <c r="T132" i="17"/>
  <c r="T217" i="17" s="1"/>
  <c r="L133" i="17"/>
  <c r="N133" i="17"/>
  <c r="P133" i="17"/>
  <c r="R133" i="17"/>
  <c r="T133" i="17"/>
  <c r="M133" i="17"/>
  <c r="O133" i="17"/>
  <c r="Q133" i="17"/>
  <c r="S133" i="17"/>
  <c r="U133" i="17"/>
  <c r="C92" i="17"/>
  <c r="E92" i="17"/>
  <c r="D92" i="17"/>
  <c r="F92" i="17"/>
  <c r="B92" i="17"/>
  <c r="C91" i="17"/>
  <c r="C201" i="17" s="1"/>
  <c r="E91" i="17"/>
  <c r="E201" i="17" s="1"/>
  <c r="B91" i="17"/>
  <c r="B201" i="17" s="1"/>
  <c r="D91" i="17"/>
  <c r="D201" i="17" s="1"/>
  <c r="F91" i="17"/>
  <c r="F201" i="17" s="1"/>
  <c r="C90" i="17"/>
  <c r="E90" i="17"/>
  <c r="B90" i="17"/>
  <c r="D90" i="17"/>
  <c r="F90" i="17"/>
  <c r="G91" i="17"/>
  <c r="G201" i="17" s="1"/>
  <c r="I91" i="17"/>
  <c r="I201" i="17" s="1"/>
  <c r="K91" i="17"/>
  <c r="K201" i="17" s="1"/>
  <c r="M91" i="17"/>
  <c r="M201" i="17" s="1"/>
  <c r="O91" i="17"/>
  <c r="O201" i="17" s="1"/>
  <c r="Q91" i="17"/>
  <c r="Q201" i="17" s="1"/>
  <c r="S91" i="17"/>
  <c r="S201" i="17" s="1"/>
  <c r="U91" i="17"/>
  <c r="U201" i="17" s="1"/>
  <c r="H91" i="17"/>
  <c r="H201" i="17" s="1"/>
  <c r="J91" i="17"/>
  <c r="J201" i="17" s="1"/>
  <c r="L91" i="17"/>
  <c r="L201" i="17" s="1"/>
  <c r="N91" i="17"/>
  <c r="N201" i="17" s="1"/>
  <c r="P91" i="17"/>
  <c r="P201" i="17" s="1"/>
  <c r="R91" i="17"/>
  <c r="R201" i="17" s="1"/>
  <c r="T91" i="17"/>
  <c r="T201" i="17" s="1"/>
  <c r="H90" i="17"/>
  <c r="J90" i="17"/>
  <c r="L90" i="17"/>
  <c r="N90" i="17"/>
  <c r="P90" i="17"/>
  <c r="R90" i="17"/>
  <c r="T90" i="17"/>
  <c r="G90" i="17"/>
  <c r="I90" i="17"/>
  <c r="K90" i="17"/>
  <c r="M90" i="17"/>
  <c r="O90" i="17"/>
  <c r="Q90" i="17"/>
  <c r="S90" i="17"/>
  <c r="U90" i="17"/>
  <c r="H92" i="17"/>
  <c r="J92" i="17"/>
  <c r="L92" i="17"/>
  <c r="N92" i="17"/>
  <c r="P92" i="17"/>
  <c r="R92" i="17"/>
  <c r="T92" i="17"/>
  <c r="G92" i="17"/>
  <c r="I92" i="17"/>
  <c r="K92" i="17"/>
  <c r="M92" i="17"/>
  <c r="O92" i="17"/>
  <c r="Q92" i="17"/>
  <c r="S92" i="17"/>
  <c r="U92" i="17"/>
  <c r="D136" i="17"/>
  <c r="F136" i="17"/>
  <c r="H136" i="17"/>
  <c r="J136" i="17"/>
  <c r="C136" i="17"/>
  <c r="E136" i="17"/>
  <c r="G136" i="17"/>
  <c r="I136" i="17"/>
  <c r="K136" i="17"/>
  <c r="B136" i="17"/>
  <c r="C137" i="17"/>
  <c r="C223" i="17" s="1"/>
  <c r="E137" i="17"/>
  <c r="E223" i="17" s="1"/>
  <c r="G137" i="17"/>
  <c r="G223" i="17" s="1"/>
  <c r="I137" i="17"/>
  <c r="I223" i="17" s="1"/>
  <c r="K137" i="17"/>
  <c r="K223" i="17" s="1"/>
  <c r="B137" i="17"/>
  <c r="B223" i="17" s="1"/>
  <c r="D137" i="17"/>
  <c r="D223" i="17" s="1"/>
  <c r="F137" i="17"/>
  <c r="F223" i="17" s="1"/>
  <c r="H137" i="17"/>
  <c r="H223" i="17" s="1"/>
  <c r="J137" i="17"/>
  <c r="J223" i="17" s="1"/>
  <c r="L136" i="17"/>
  <c r="N136" i="17"/>
  <c r="P136" i="17"/>
  <c r="R136" i="17"/>
  <c r="T136" i="17"/>
  <c r="M136" i="17"/>
  <c r="O136" i="17"/>
  <c r="Q136" i="17"/>
  <c r="S136" i="17"/>
  <c r="U136" i="17"/>
  <c r="M137" i="17"/>
  <c r="M223" i="17" s="1"/>
  <c r="O137" i="17"/>
  <c r="O223" i="17" s="1"/>
  <c r="Q137" i="17"/>
  <c r="Q223" i="17" s="1"/>
  <c r="S137" i="17"/>
  <c r="S223" i="17" s="1"/>
  <c r="U137" i="17"/>
  <c r="U223" i="17" s="1"/>
  <c r="L137" i="17"/>
  <c r="L223" i="17" s="1"/>
  <c r="N137" i="17"/>
  <c r="N223" i="17" s="1"/>
  <c r="P137" i="17"/>
  <c r="P223" i="17" s="1"/>
  <c r="R137" i="17"/>
  <c r="R223" i="17" s="1"/>
  <c r="T137" i="17"/>
  <c r="T223" i="17" s="1"/>
  <c r="C96" i="17"/>
  <c r="C207" i="17" s="1"/>
  <c r="E96" i="17"/>
  <c r="E207" i="17" s="1"/>
  <c r="D96" i="17"/>
  <c r="D207" i="17" s="1"/>
  <c r="F96" i="17"/>
  <c r="F207" i="17" s="1"/>
  <c r="B96" i="17"/>
  <c r="B207" i="17" s="1"/>
  <c r="D95" i="17"/>
  <c r="F95" i="17"/>
  <c r="B95" i="17"/>
  <c r="C95" i="17"/>
  <c r="E95" i="17"/>
  <c r="B162" i="17"/>
  <c r="D49" i="17"/>
  <c r="C49" i="17"/>
  <c r="D51" i="17"/>
  <c r="D186" i="17" s="1"/>
  <c r="E51" i="17"/>
  <c r="T50" i="17"/>
  <c r="P50" i="17"/>
  <c r="P185" i="17" s="1"/>
  <c r="L50" i="17"/>
  <c r="L185" i="17" s="1"/>
  <c r="H50" i="17"/>
  <c r="H185" i="17" s="1"/>
  <c r="S50" i="17"/>
  <c r="K50" i="17"/>
  <c r="K185" i="17" s="1"/>
  <c r="G50" i="17"/>
  <c r="G185" i="17" s="1"/>
  <c r="D50" i="17"/>
  <c r="D185" i="17" s="1"/>
  <c r="T49" i="17"/>
  <c r="P49" i="17"/>
  <c r="L49" i="17"/>
  <c r="H49" i="17"/>
  <c r="S49" i="17"/>
  <c r="K49" i="17"/>
  <c r="G49" i="17"/>
  <c r="R51" i="17"/>
  <c r="N51" i="17"/>
  <c r="J51" i="17"/>
  <c r="U51" i="17"/>
  <c r="Q51" i="17"/>
  <c r="Q186" i="17" s="1"/>
  <c r="H55" i="17"/>
  <c r="H191" i="17" s="1"/>
  <c r="K55" i="17"/>
  <c r="K191" i="17" s="1"/>
  <c r="G55" i="17"/>
  <c r="G191" i="17" s="1"/>
  <c r="H54" i="17"/>
  <c r="K54" i="17"/>
  <c r="G54" i="17"/>
  <c r="J55" i="17"/>
  <c r="J191" i="17" s="1"/>
  <c r="J54" i="17"/>
  <c r="C54" i="17"/>
  <c r="E54" i="17"/>
  <c r="B54" i="17"/>
  <c r="D54" i="17"/>
  <c r="F54" i="17"/>
  <c r="C55" i="17"/>
  <c r="C191" i="17" s="1"/>
  <c r="E55" i="17"/>
  <c r="E191" i="17" s="1"/>
  <c r="B55" i="17"/>
  <c r="D55" i="17"/>
  <c r="D191" i="17" s="1"/>
  <c r="F55" i="17"/>
  <c r="F191" i="17" s="1"/>
  <c r="B186" i="17"/>
  <c r="Q170" i="17"/>
  <c r="S191" i="17"/>
  <c r="O191" i="17"/>
  <c r="S185" i="17"/>
  <c r="C185" i="17"/>
  <c r="S175" i="17"/>
  <c r="O175" i="17"/>
  <c r="K175" i="17"/>
  <c r="G175" i="17"/>
  <c r="C175" i="17"/>
  <c r="S169" i="17"/>
  <c r="O169" i="17"/>
  <c r="K169" i="17"/>
  <c r="G169" i="17"/>
  <c r="C169" i="17"/>
  <c r="N185" i="17"/>
  <c r="J185" i="17"/>
  <c r="F185" i="17"/>
  <c r="B185" i="17"/>
  <c r="R175" i="17"/>
  <c r="N175" i="17"/>
  <c r="J175" i="17"/>
  <c r="F175" i="17"/>
  <c r="B175" i="17"/>
  <c r="R169" i="17"/>
  <c r="N169" i="17"/>
  <c r="J169" i="17"/>
  <c r="F169" i="17"/>
  <c r="B169" i="17"/>
  <c r="M191" i="17"/>
  <c r="I191" i="17"/>
  <c r="M185" i="17"/>
  <c r="U175" i="17"/>
  <c r="Q175" i="17"/>
  <c r="M175" i="17"/>
  <c r="I175" i="17"/>
  <c r="E175" i="17"/>
  <c r="U169" i="17"/>
  <c r="Q169" i="17"/>
  <c r="M169" i="17"/>
  <c r="I169" i="17"/>
  <c r="E169" i="17"/>
  <c r="P191" i="17"/>
  <c r="L191" i="17"/>
  <c r="T185" i="17"/>
  <c r="T175" i="17"/>
  <c r="P175" i="17"/>
  <c r="L175" i="17"/>
  <c r="H175" i="17"/>
  <c r="D175" i="17"/>
  <c r="T169" i="17"/>
  <c r="P169" i="17"/>
  <c r="L169" i="17"/>
  <c r="H169" i="17"/>
  <c r="D169" i="17"/>
  <c r="F24" i="16"/>
  <c r="J12" i="9"/>
  <c r="B28" i="15"/>
  <c r="D39" i="13"/>
  <c r="C39" i="13"/>
  <c r="B39" i="13"/>
  <c r="B27" i="13"/>
  <c r="B33" i="13" s="1"/>
  <c r="D10" i="13"/>
  <c r="D26" i="16" s="1"/>
  <c r="J13" i="9"/>
  <c r="J14" i="9"/>
  <c r="S186" i="17" l="1"/>
  <c r="F86" i="16"/>
  <c r="R191" i="17"/>
  <c r="F121" i="16"/>
  <c r="Q185" i="17"/>
  <c r="B104" i="16"/>
  <c r="D24" i="16"/>
  <c r="C121" i="16"/>
  <c r="H170" i="17"/>
  <c r="T186" i="17"/>
  <c r="M186" i="17"/>
  <c r="S170" i="17"/>
  <c r="F104" i="16"/>
  <c r="E86" i="16"/>
  <c r="E104" i="16"/>
  <c r="E121" i="16"/>
  <c r="N191" i="17"/>
  <c r="U185" i="17"/>
  <c r="O185" i="17"/>
  <c r="B121" i="16"/>
  <c r="D86" i="16"/>
  <c r="C86" i="16"/>
  <c r="E24" i="16"/>
  <c r="C24" i="16"/>
  <c r="C113" i="16" s="1"/>
  <c r="L170" i="17"/>
  <c r="H186" i="17"/>
  <c r="E170" i="17"/>
  <c r="U170" i="17"/>
  <c r="F170" i="17"/>
  <c r="C170" i="17"/>
  <c r="O186" i="17"/>
  <c r="B86" i="16"/>
  <c r="C104" i="16"/>
  <c r="D104" i="16"/>
  <c r="R121" i="16"/>
  <c r="R104" i="16"/>
  <c r="R86" i="16"/>
  <c r="R24" i="16"/>
  <c r="N121" i="16"/>
  <c r="N104" i="16"/>
  <c r="N86" i="16"/>
  <c r="N24" i="16"/>
  <c r="J104" i="16"/>
  <c r="J86" i="16"/>
  <c r="J121" i="16"/>
  <c r="J24" i="16"/>
  <c r="U121" i="16"/>
  <c r="U104" i="16"/>
  <c r="U86" i="16"/>
  <c r="U24" i="16"/>
  <c r="Q104" i="16"/>
  <c r="Q86" i="16"/>
  <c r="Q121" i="16"/>
  <c r="Q24" i="16"/>
  <c r="M121" i="16"/>
  <c r="M104" i="16"/>
  <c r="M86" i="16"/>
  <c r="M24" i="16"/>
  <c r="I104" i="16"/>
  <c r="I86" i="16"/>
  <c r="I121" i="16"/>
  <c r="I24" i="16"/>
  <c r="T104" i="16"/>
  <c r="T86" i="16"/>
  <c r="T24" i="16"/>
  <c r="T121" i="16"/>
  <c r="P121" i="16"/>
  <c r="P24" i="16"/>
  <c r="P104" i="16"/>
  <c r="P86" i="16"/>
  <c r="L104" i="16"/>
  <c r="L86" i="16"/>
  <c r="L24" i="16"/>
  <c r="L121" i="16"/>
  <c r="H121" i="16"/>
  <c r="H24" i="16"/>
  <c r="H104" i="16"/>
  <c r="H86" i="16"/>
  <c r="S121" i="16"/>
  <c r="S24" i="16"/>
  <c r="S104" i="16"/>
  <c r="S86" i="16"/>
  <c r="O104" i="16"/>
  <c r="O86" i="16"/>
  <c r="O24" i="16"/>
  <c r="O121" i="16"/>
  <c r="K121" i="16"/>
  <c r="K24" i="16"/>
  <c r="K104" i="16"/>
  <c r="K86" i="16"/>
  <c r="G104" i="16"/>
  <c r="G86" i="16"/>
  <c r="G24" i="16"/>
  <c r="G121" i="16"/>
  <c r="D103" i="16"/>
  <c r="D114" i="16"/>
  <c r="D97" i="16"/>
  <c r="D79" i="16"/>
  <c r="B103" i="16"/>
  <c r="B114" i="16"/>
  <c r="B97" i="16"/>
  <c r="B79" i="16"/>
  <c r="Q191" i="17"/>
  <c r="B82" i="16"/>
  <c r="B84" i="16"/>
  <c r="D170" i="17"/>
  <c r="T170" i="17"/>
  <c r="P186" i="17"/>
  <c r="M170" i="17"/>
  <c r="I186" i="17"/>
  <c r="B170" i="17"/>
  <c r="R170" i="17"/>
  <c r="R186" i="17"/>
  <c r="O170" i="17"/>
  <c r="K186" i="17"/>
  <c r="N186" i="17"/>
  <c r="P170" i="17"/>
  <c r="L186" i="17"/>
  <c r="I170" i="17"/>
  <c r="E186" i="17"/>
  <c r="U186" i="17"/>
  <c r="N170" i="17"/>
  <c r="J186" i="17"/>
  <c r="K170" i="17"/>
  <c r="G186" i="17"/>
  <c r="J170" i="17"/>
  <c r="F186" i="17"/>
  <c r="G170" i="17"/>
  <c r="C186" i="17"/>
  <c r="B86" i="19"/>
  <c r="B95" i="19" s="1"/>
  <c r="F96" i="19"/>
  <c r="P95" i="19"/>
  <c r="O95" i="19"/>
  <c r="B85" i="16"/>
  <c r="B120" i="16"/>
  <c r="D85" i="16"/>
  <c r="D120" i="16"/>
  <c r="M93" i="19"/>
  <c r="S202" i="17"/>
  <c r="O202" i="17"/>
  <c r="K202" i="17"/>
  <c r="G202" i="17"/>
  <c r="R202" i="17"/>
  <c r="N202" i="17"/>
  <c r="J202" i="17"/>
  <c r="B202" i="17"/>
  <c r="D202" i="17"/>
  <c r="C202" i="17"/>
  <c r="S218" i="17"/>
  <c r="O218" i="17"/>
  <c r="T218" i="17"/>
  <c r="P218" i="17"/>
  <c r="L218" i="17"/>
  <c r="K218" i="17"/>
  <c r="G218" i="17"/>
  <c r="C218" i="17"/>
  <c r="H218" i="17"/>
  <c r="D218" i="17"/>
  <c r="B160" i="17"/>
  <c r="I206" i="17" s="1"/>
  <c r="U202" i="17"/>
  <c r="Q202" i="17"/>
  <c r="M202" i="17"/>
  <c r="I202" i="17"/>
  <c r="T202" i="17"/>
  <c r="P202" i="17"/>
  <c r="L202" i="17"/>
  <c r="H202" i="17"/>
  <c r="F202" i="17"/>
  <c r="E202" i="17"/>
  <c r="U218" i="17"/>
  <c r="Q218" i="17"/>
  <c r="M218" i="17"/>
  <c r="R218" i="17"/>
  <c r="N218" i="17"/>
  <c r="B218" i="17"/>
  <c r="I218" i="17"/>
  <c r="E218" i="17"/>
  <c r="J218" i="17"/>
  <c r="F218" i="17"/>
  <c r="B78" i="16"/>
  <c r="B77" i="16"/>
  <c r="B83" i="16"/>
  <c r="E112" i="16"/>
  <c r="E119" i="16"/>
  <c r="E111" i="16"/>
  <c r="E118" i="16"/>
  <c r="E117" i="16"/>
  <c r="E113" i="16"/>
  <c r="B112" i="16"/>
  <c r="B113" i="16"/>
  <c r="B118" i="16"/>
  <c r="B117" i="16"/>
  <c r="B119" i="16"/>
  <c r="B111" i="16"/>
  <c r="D111" i="16"/>
  <c r="D118" i="16"/>
  <c r="D117" i="16"/>
  <c r="D113" i="16"/>
  <c r="D112" i="16"/>
  <c r="D119" i="16"/>
  <c r="F113" i="16"/>
  <c r="F112" i="16"/>
  <c r="F119" i="16"/>
  <c r="F111" i="16"/>
  <c r="F118" i="16"/>
  <c r="F117" i="16"/>
  <c r="E95" i="16"/>
  <c r="E94" i="16"/>
  <c r="E96" i="16"/>
  <c r="E102" i="16"/>
  <c r="E101" i="16"/>
  <c r="E100" i="16"/>
  <c r="F94" i="16"/>
  <c r="F96" i="16"/>
  <c r="F95" i="16"/>
  <c r="F102" i="16"/>
  <c r="F101" i="16"/>
  <c r="F100" i="16"/>
  <c r="B96" i="16"/>
  <c r="B94" i="16"/>
  <c r="B95" i="16"/>
  <c r="B100" i="16"/>
  <c r="B101" i="16"/>
  <c r="B102" i="16"/>
  <c r="D94" i="16"/>
  <c r="D96" i="16"/>
  <c r="D95" i="16"/>
  <c r="D101" i="16"/>
  <c r="D100" i="16"/>
  <c r="D102" i="16"/>
  <c r="C77" i="16"/>
  <c r="F76" i="16"/>
  <c r="F78" i="16"/>
  <c r="F82" i="16"/>
  <c r="F84" i="16"/>
  <c r="F77" i="16"/>
  <c r="F83" i="16"/>
  <c r="E77" i="16"/>
  <c r="E83" i="16"/>
  <c r="E76" i="16"/>
  <c r="E78" i="16"/>
  <c r="E82" i="16"/>
  <c r="E84" i="16"/>
  <c r="D76" i="16"/>
  <c r="D78" i="16"/>
  <c r="D82" i="16"/>
  <c r="D84" i="16"/>
  <c r="D77" i="16"/>
  <c r="D83" i="16"/>
  <c r="B191" i="17"/>
  <c r="B78" i="9"/>
  <c r="B79" i="9"/>
  <c r="B77" i="9"/>
  <c r="D33" i="13"/>
  <c r="C33" i="13"/>
  <c r="E10" i="13"/>
  <c r="C82" i="16" l="1"/>
  <c r="C96" i="16"/>
  <c r="C111" i="16"/>
  <c r="C117" i="16"/>
  <c r="G93" i="19"/>
  <c r="C94" i="19"/>
  <c r="L94" i="19"/>
  <c r="Q94" i="19"/>
  <c r="C76" i="16"/>
  <c r="C102" i="16"/>
  <c r="C112" i="16"/>
  <c r="P93" i="19"/>
  <c r="R94" i="19"/>
  <c r="S94" i="19"/>
  <c r="I95" i="19"/>
  <c r="N95" i="19"/>
  <c r="C95" i="16"/>
  <c r="J93" i="19"/>
  <c r="L96" i="19"/>
  <c r="M96" i="19"/>
  <c r="B96" i="19"/>
  <c r="K206" i="17"/>
  <c r="O184" i="17"/>
  <c r="C84" i="16"/>
  <c r="C78" i="16"/>
  <c r="C83" i="16"/>
  <c r="C101" i="16"/>
  <c r="C100" i="16"/>
  <c r="C94" i="16"/>
  <c r="C118" i="16"/>
  <c r="C119" i="16"/>
  <c r="C122" i="16" s="1"/>
  <c r="J206" i="17"/>
  <c r="J216" i="17"/>
  <c r="Q216" i="17"/>
  <c r="N200" i="17"/>
  <c r="G117" i="16"/>
  <c r="G112" i="16"/>
  <c r="G111" i="16"/>
  <c r="G95" i="16"/>
  <c r="G96" i="16"/>
  <c r="G102" i="16"/>
  <c r="G77" i="16"/>
  <c r="G76" i="16"/>
  <c r="G82" i="16"/>
  <c r="G113" i="16"/>
  <c r="G119" i="16"/>
  <c r="G118" i="16"/>
  <c r="G94" i="16"/>
  <c r="G101" i="16"/>
  <c r="G78" i="16"/>
  <c r="G100" i="16"/>
  <c r="G83" i="16"/>
  <c r="G84" i="16"/>
  <c r="O117" i="16"/>
  <c r="O112" i="16"/>
  <c r="O111" i="16"/>
  <c r="O95" i="16"/>
  <c r="O96" i="16"/>
  <c r="O102" i="16"/>
  <c r="O77" i="16"/>
  <c r="O76" i="16"/>
  <c r="O82" i="16"/>
  <c r="O113" i="16"/>
  <c r="O119" i="16"/>
  <c r="O118" i="16"/>
  <c r="O94" i="16"/>
  <c r="O101" i="16"/>
  <c r="O78" i="16"/>
  <c r="O100" i="16"/>
  <c r="O83" i="16"/>
  <c r="O84" i="16"/>
  <c r="L111" i="16"/>
  <c r="L117" i="16"/>
  <c r="L112" i="16"/>
  <c r="L94" i="16"/>
  <c r="L95" i="16"/>
  <c r="L100" i="16"/>
  <c r="L76" i="16"/>
  <c r="L82" i="16"/>
  <c r="L77" i="16"/>
  <c r="L118" i="16"/>
  <c r="L113" i="16"/>
  <c r="L119" i="16"/>
  <c r="L101" i="16"/>
  <c r="L78" i="16"/>
  <c r="L83" i="16"/>
  <c r="L96" i="16"/>
  <c r="L102" i="16"/>
  <c r="L84" i="16"/>
  <c r="T111" i="16"/>
  <c r="T117" i="16"/>
  <c r="T112" i="16"/>
  <c r="T94" i="16"/>
  <c r="T95" i="16"/>
  <c r="T100" i="16"/>
  <c r="T76" i="16"/>
  <c r="T82" i="16"/>
  <c r="T77" i="16"/>
  <c r="T118" i="16"/>
  <c r="T119" i="16"/>
  <c r="T101" i="16"/>
  <c r="T78" i="16"/>
  <c r="T83" i="16"/>
  <c r="T113" i="16"/>
  <c r="T96" i="16"/>
  <c r="T102" i="16"/>
  <c r="T84" i="16"/>
  <c r="O200" i="17"/>
  <c r="K117" i="16"/>
  <c r="K112" i="16"/>
  <c r="K111" i="16"/>
  <c r="K95" i="16"/>
  <c r="K96" i="16"/>
  <c r="K102" i="16"/>
  <c r="K77" i="16"/>
  <c r="K76" i="16"/>
  <c r="K82" i="16"/>
  <c r="K113" i="16"/>
  <c r="K119" i="16"/>
  <c r="K118" i="16"/>
  <c r="K100" i="16"/>
  <c r="K83" i="16"/>
  <c r="K84" i="16"/>
  <c r="K94" i="16"/>
  <c r="K101" i="16"/>
  <c r="K78" i="16"/>
  <c r="S117" i="16"/>
  <c r="S112" i="16"/>
  <c r="S111" i="16"/>
  <c r="S95" i="16"/>
  <c r="S96" i="16"/>
  <c r="S102" i="16"/>
  <c r="S77" i="16"/>
  <c r="S76" i="16"/>
  <c r="S82" i="16"/>
  <c r="S113" i="16"/>
  <c r="S119" i="16"/>
  <c r="S118" i="16"/>
  <c r="S100" i="16"/>
  <c r="S83" i="16"/>
  <c r="S84" i="16"/>
  <c r="S94" i="16"/>
  <c r="S101" i="16"/>
  <c r="S78" i="16"/>
  <c r="H111" i="16"/>
  <c r="H117" i="16"/>
  <c r="H112" i="16"/>
  <c r="H94" i="16"/>
  <c r="H95" i="16"/>
  <c r="H100" i="16"/>
  <c r="H76" i="16"/>
  <c r="H82" i="16"/>
  <c r="H77" i="16"/>
  <c r="H118" i="16"/>
  <c r="H113" i="16"/>
  <c r="H119" i="16"/>
  <c r="H96" i="16"/>
  <c r="H102" i="16"/>
  <c r="H84" i="16"/>
  <c r="H101" i="16"/>
  <c r="H78" i="16"/>
  <c r="H83" i="16"/>
  <c r="P111" i="16"/>
  <c r="P117" i="16"/>
  <c r="P112" i="16"/>
  <c r="P94" i="16"/>
  <c r="P95" i="16"/>
  <c r="P100" i="16"/>
  <c r="P76" i="16"/>
  <c r="P82" i="16"/>
  <c r="P77" i="16"/>
  <c r="P113" i="16"/>
  <c r="P96" i="16"/>
  <c r="P102" i="16"/>
  <c r="P84" i="16"/>
  <c r="P118" i="16"/>
  <c r="P119" i="16"/>
  <c r="P101" i="16"/>
  <c r="P78" i="16"/>
  <c r="P83" i="16"/>
  <c r="I112" i="16"/>
  <c r="I111" i="16"/>
  <c r="I117" i="16"/>
  <c r="I95" i="16"/>
  <c r="I96" i="16"/>
  <c r="I101" i="16"/>
  <c r="I77" i="16"/>
  <c r="I76" i="16"/>
  <c r="I82" i="16"/>
  <c r="I119" i="16"/>
  <c r="I118" i="16"/>
  <c r="I113" i="16"/>
  <c r="I102" i="16"/>
  <c r="I83" i="16"/>
  <c r="I84" i="16"/>
  <c r="I94" i="16"/>
  <c r="I100" i="16"/>
  <c r="I78" i="16"/>
  <c r="M112" i="16"/>
  <c r="M111" i="16"/>
  <c r="M117" i="16"/>
  <c r="M95" i="16"/>
  <c r="M96" i="16"/>
  <c r="M101" i="16"/>
  <c r="M77" i="16"/>
  <c r="M76" i="16"/>
  <c r="M82" i="16"/>
  <c r="M119" i="16"/>
  <c r="M118" i="16"/>
  <c r="M113" i="16"/>
  <c r="M94" i="16"/>
  <c r="M100" i="16"/>
  <c r="M78" i="16"/>
  <c r="M102" i="16"/>
  <c r="M83" i="16"/>
  <c r="M84" i="16"/>
  <c r="Q112" i="16"/>
  <c r="Q111" i="16"/>
  <c r="Q117" i="16"/>
  <c r="Q95" i="16"/>
  <c r="Q96" i="16"/>
  <c r="Q101" i="16"/>
  <c r="Q77" i="16"/>
  <c r="Q76" i="16"/>
  <c r="Q82" i="16"/>
  <c r="Q119" i="16"/>
  <c r="Q118" i="16"/>
  <c r="Q113" i="16"/>
  <c r="Q102" i="16"/>
  <c r="Q83" i="16"/>
  <c r="Q84" i="16"/>
  <c r="Q94" i="16"/>
  <c r="Q100" i="16"/>
  <c r="Q78" i="16"/>
  <c r="U112" i="16"/>
  <c r="U111" i="16"/>
  <c r="U117" i="16"/>
  <c r="U95" i="16"/>
  <c r="U96" i="16"/>
  <c r="U101" i="16"/>
  <c r="U77" i="16"/>
  <c r="U76" i="16"/>
  <c r="U82" i="16"/>
  <c r="U119" i="16"/>
  <c r="U118" i="16"/>
  <c r="U113" i="16"/>
  <c r="U94" i="16"/>
  <c r="U100" i="16"/>
  <c r="U78" i="16"/>
  <c r="U102" i="16"/>
  <c r="U83" i="16"/>
  <c r="U84" i="16"/>
  <c r="J113" i="16"/>
  <c r="J119" i="16"/>
  <c r="J118" i="16"/>
  <c r="J94" i="16"/>
  <c r="J95" i="16"/>
  <c r="J101" i="16"/>
  <c r="J76" i="16"/>
  <c r="J82" i="16"/>
  <c r="J77" i="16"/>
  <c r="J112" i="16"/>
  <c r="J111" i="16"/>
  <c r="J117" i="16"/>
  <c r="J102" i="16"/>
  <c r="J78" i="16"/>
  <c r="J83" i="16"/>
  <c r="J96" i="16"/>
  <c r="J100" i="16"/>
  <c r="J84" i="16"/>
  <c r="N113" i="16"/>
  <c r="N119" i="16"/>
  <c r="N118" i="16"/>
  <c r="N94" i="16"/>
  <c r="N95" i="16"/>
  <c r="N101" i="16"/>
  <c r="N76" i="16"/>
  <c r="N82" i="16"/>
  <c r="N77" i="16"/>
  <c r="N112" i="16"/>
  <c r="N111" i="16"/>
  <c r="N117" i="16"/>
  <c r="N96" i="16"/>
  <c r="N100" i="16"/>
  <c r="N84" i="16"/>
  <c r="N102" i="16"/>
  <c r="N78" i="16"/>
  <c r="N83" i="16"/>
  <c r="R113" i="16"/>
  <c r="R119" i="16"/>
  <c r="R118" i="16"/>
  <c r="R94" i="16"/>
  <c r="R95" i="16"/>
  <c r="R101" i="16"/>
  <c r="R76" i="16"/>
  <c r="R82" i="16"/>
  <c r="R77" i="16"/>
  <c r="R112" i="16"/>
  <c r="R111" i="16"/>
  <c r="R117" i="16"/>
  <c r="R102" i="16"/>
  <c r="R78" i="16"/>
  <c r="R83" i="16"/>
  <c r="R96" i="16"/>
  <c r="R100" i="16"/>
  <c r="R84" i="16"/>
  <c r="B80" i="16"/>
  <c r="D80" i="16"/>
  <c r="B105" i="16"/>
  <c r="B98" i="16"/>
  <c r="C98" i="16"/>
  <c r="B115" i="16"/>
  <c r="S96" i="19"/>
  <c r="D98" i="16"/>
  <c r="D115" i="16"/>
  <c r="B87" i="16"/>
  <c r="D105" i="16"/>
  <c r="E222" i="17"/>
  <c r="K96" i="19"/>
  <c r="R206" i="17"/>
  <c r="S206" i="17"/>
  <c r="G216" i="17"/>
  <c r="R216" i="17"/>
  <c r="N206" i="17"/>
  <c r="N209" i="17" s="1"/>
  <c r="O206" i="17"/>
  <c r="C216" i="17"/>
  <c r="N216" i="17"/>
  <c r="N225" i="17" s="1"/>
  <c r="U216" i="17"/>
  <c r="E200" i="17"/>
  <c r="R200" i="17"/>
  <c r="S200" i="17"/>
  <c r="I222" i="17"/>
  <c r="M222" i="17"/>
  <c r="B206" i="17"/>
  <c r="S184" i="17"/>
  <c r="D93" i="19"/>
  <c r="T93" i="19"/>
  <c r="Q93" i="19"/>
  <c r="N93" i="19"/>
  <c r="K93" i="19"/>
  <c r="D87" i="16"/>
  <c r="F94" i="19"/>
  <c r="C95" i="19"/>
  <c r="S95" i="19"/>
  <c r="P96" i="19"/>
  <c r="G94" i="19"/>
  <c r="D95" i="19"/>
  <c r="T95" i="19"/>
  <c r="Q96" i="19"/>
  <c r="P94" i="19"/>
  <c r="M95" i="19"/>
  <c r="J96" i="19"/>
  <c r="E94" i="19"/>
  <c r="U94" i="19"/>
  <c r="R95" i="19"/>
  <c r="O96" i="19"/>
  <c r="B93" i="19"/>
  <c r="R222" i="17"/>
  <c r="D206" i="17"/>
  <c r="L184" i="17"/>
  <c r="B190" i="17"/>
  <c r="G206" i="17"/>
  <c r="F216" i="17"/>
  <c r="K216" i="17"/>
  <c r="M216" i="17"/>
  <c r="M225" i="17" s="1"/>
  <c r="J200" i="17"/>
  <c r="J209" i="17" s="1"/>
  <c r="K200" i="17"/>
  <c r="J222" i="17"/>
  <c r="J225" i="17" s="1"/>
  <c r="N222" i="17"/>
  <c r="U222" i="17"/>
  <c r="D184" i="17"/>
  <c r="K190" i="17"/>
  <c r="L93" i="19"/>
  <c r="I93" i="19"/>
  <c r="F93" i="19"/>
  <c r="C93" i="19"/>
  <c r="S93" i="19"/>
  <c r="N94" i="19"/>
  <c r="K95" i="19"/>
  <c r="H96" i="19"/>
  <c r="B94" i="19"/>
  <c r="O94" i="19"/>
  <c r="L95" i="19"/>
  <c r="I96" i="19"/>
  <c r="H94" i="19"/>
  <c r="E95" i="19"/>
  <c r="U95" i="19"/>
  <c r="R96" i="19"/>
  <c r="M94" i="19"/>
  <c r="J95" i="19"/>
  <c r="G96" i="19"/>
  <c r="U96" i="19"/>
  <c r="C190" i="17"/>
  <c r="D200" i="17"/>
  <c r="G200" i="17"/>
  <c r="F222" i="17"/>
  <c r="B222" i="17"/>
  <c r="Q222" i="17"/>
  <c r="E206" i="17"/>
  <c r="G184" i="17"/>
  <c r="H93" i="19"/>
  <c r="E93" i="19"/>
  <c r="U93" i="19"/>
  <c r="R93" i="19"/>
  <c r="O93" i="19"/>
  <c r="J94" i="19"/>
  <c r="G95" i="19"/>
  <c r="D96" i="19"/>
  <c r="T96" i="19"/>
  <c r="K94" i="19"/>
  <c r="H95" i="19"/>
  <c r="E96" i="19"/>
  <c r="D94" i="19"/>
  <c r="T94" i="19"/>
  <c r="Q95" i="19"/>
  <c r="N96" i="19"/>
  <c r="I94" i="19"/>
  <c r="F95" i="19"/>
  <c r="C96" i="19"/>
  <c r="D122" i="16"/>
  <c r="B122" i="16"/>
  <c r="E33" i="13"/>
  <c r="E26" i="16"/>
  <c r="F190" i="17"/>
  <c r="H206" i="17"/>
  <c r="P206" i="17"/>
  <c r="Q206" i="17"/>
  <c r="S190" i="17"/>
  <c r="D168" i="17"/>
  <c r="T168" i="17"/>
  <c r="N184" i="17"/>
  <c r="U184" i="17"/>
  <c r="M184" i="17"/>
  <c r="F184" i="17"/>
  <c r="P190" i="17"/>
  <c r="L174" i="17"/>
  <c r="T184" i="17"/>
  <c r="P168" i="17"/>
  <c r="T174" i="17"/>
  <c r="U174" i="17"/>
  <c r="P174" i="17"/>
  <c r="T190" i="17"/>
  <c r="M174" i="17"/>
  <c r="E168" i="17"/>
  <c r="U168" i="17"/>
  <c r="Q174" i="17"/>
  <c r="R168" i="17"/>
  <c r="J168" i="17"/>
  <c r="U190" i="17"/>
  <c r="N168" i="17"/>
  <c r="J174" i="17"/>
  <c r="N174" i="17"/>
  <c r="N190" i="17"/>
  <c r="G168" i="17"/>
  <c r="C168" i="17"/>
  <c r="S168" i="17"/>
  <c r="O174" i="17"/>
  <c r="K174" i="17"/>
  <c r="O190" i="17"/>
  <c r="O193" i="17" s="1"/>
  <c r="B184" i="17"/>
  <c r="B193" i="17" s="1"/>
  <c r="E184" i="17"/>
  <c r="R184" i="17"/>
  <c r="J184" i="17"/>
  <c r="Q184" i="17"/>
  <c r="I184" i="17"/>
  <c r="L168" i="17"/>
  <c r="E174" i="17"/>
  <c r="H168" i="17"/>
  <c r="D174" i="17"/>
  <c r="I168" i="17"/>
  <c r="H174" i="17"/>
  <c r="L190" i="17"/>
  <c r="Q168" i="17"/>
  <c r="B168" i="17"/>
  <c r="M168" i="17"/>
  <c r="M177" i="17" s="1"/>
  <c r="I174" i="17"/>
  <c r="M190" i="17"/>
  <c r="Q190" i="17"/>
  <c r="F174" i="17"/>
  <c r="F168" i="17"/>
  <c r="B174" i="17"/>
  <c r="I190" i="17"/>
  <c r="R174" i="17"/>
  <c r="R190" i="17"/>
  <c r="O168" i="17"/>
  <c r="O177" i="17" s="1"/>
  <c r="K168" i="17"/>
  <c r="K177" i="17" s="1"/>
  <c r="G174" i="17"/>
  <c r="C174" i="17"/>
  <c r="S174" i="17"/>
  <c r="L206" i="17"/>
  <c r="T206" i="17"/>
  <c r="M206" i="17"/>
  <c r="U206" i="17"/>
  <c r="H216" i="17"/>
  <c r="E216" i="17"/>
  <c r="P216" i="17"/>
  <c r="O216" i="17"/>
  <c r="C200" i="17"/>
  <c r="F200" i="17"/>
  <c r="L200" i="17"/>
  <c r="T200" i="17"/>
  <c r="M200" i="17"/>
  <c r="M209" i="17" s="1"/>
  <c r="U200" i="17"/>
  <c r="U209" i="17" s="1"/>
  <c r="D222" i="17"/>
  <c r="C222" i="17"/>
  <c r="K222" i="17"/>
  <c r="P222" i="17"/>
  <c r="O222" i="17"/>
  <c r="F206" i="17"/>
  <c r="C184" i="17"/>
  <c r="C193" i="17" s="1"/>
  <c r="H184" i="17"/>
  <c r="H190" i="17"/>
  <c r="J190" i="17"/>
  <c r="D190" i="17"/>
  <c r="D193" i="17" s="1"/>
  <c r="D216" i="17"/>
  <c r="B216" i="17"/>
  <c r="B225" i="17" s="1"/>
  <c r="I216" i="17"/>
  <c r="L216" i="17"/>
  <c r="T216" i="17"/>
  <c r="S216" i="17"/>
  <c r="B200" i="17"/>
  <c r="H200" i="17"/>
  <c r="P200" i="17"/>
  <c r="P209" i="17" s="1"/>
  <c r="I200" i="17"/>
  <c r="I209" i="17" s="1"/>
  <c r="Q200" i="17"/>
  <c r="H222" i="17"/>
  <c r="G222" i="17"/>
  <c r="G225" i="17" s="1"/>
  <c r="L222" i="17"/>
  <c r="T222" i="17"/>
  <c r="S222" i="17"/>
  <c r="C206" i="17"/>
  <c r="P184" i="17"/>
  <c r="K184" i="17"/>
  <c r="G190" i="17"/>
  <c r="E190" i="17"/>
  <c r="F87" i="9"/>
  <c r="J87" i="9"/>
  <c r="N87" i="9"/>
  <c r="R87" i="9"/>
  <c r="E87" i="9"/>
  <c r="I87" i="9"/>
  <c r="M87" i="9"/>
  <c r="Q87" i="9"/>
  <c r="U87" i="9"/>
  <c r="B87" i="9"/>
  <c r="D87" i="9"/>
  <c r="H87" i="9"/>
  <c r="L87" i="9"/>
  <c r="P87" i="9"/>
  <c r="T87" i="9"/>
  <c r="C87" i="9"/>
  <c r="G87" i="9"/>
  <c r="K87" i="9"/>
  <c r="O87" i="9"/>
  <c r="S87" i="9"/>
  <c r="E92" i="9"/>
  <c r="I92" i="9"/>
  <c r="M92" i="9"/>
  <c r="Q92" i="9"/>
  <c r="U92" i="9"/>
  <c r="D86" i="9"/>
  <c r="H86" i="9"/>
  <c r="L86" i="9"/>
  <c r="P86" i="9"/>
  <c r="T86" i="9"/>
  <c r="B86" i="9"/>
  <c r="D92" i="9"/>
  <c r="H92" i="9"/>
  <c r="L92" i="9"/>
  <c r="P92" i="9"/>
  <c r="T92" i="9"/>
  <c r="B92" i="9"/>
  <c r="G86" i="9"/>
  <c r="K86" i="9"/>
  <c r="O86" i="9"/>
  <c r="S86" i="9"/>
  <c r="G92" i="9"/>
  <c r="K92" i="9"/>
  <c r="O92" i="9"/>
  <c r="S92" i="9"/>
  <c r="C92" i="9"/>
  <c r="F86" i="9"/>
  <c r="J86" i="9"/>
  <c r="N86" i="9"/>
  <c r="R86" i="9"/>
  <c r="F92" i="9"/>
  <c r="J92" i="9"/>
  <c r="N92" i="9"/>
  <c r="R92" i="9"/>
  <c r="E86" i="9"/>
  <c r="I86" i="9"/>
  <c r="M86" i="9"/>
  <c r="Q86" i="9"/>
  <c r="U86" i="9"/>
  <c r="C86" i="9"/>
  <c r="G91" i="9"/>
  <c r="K91" i="9"/>
  <c r="O91" i="9"/>
  <c r="S91" i="9"/>
  <c r="B91" i="9"/>
  <c r="F85" i="9"/>
  <c r="J85" i="9"/>
  <c r="N85" i="9"/>
  <c r="R85" i="9"/>
  <c r="C85" i="9"/>
  <c r="F91" i="9"/>
  <c r="J91" i="9"/>
  <c r="N91" i="9"/>
  <c r="R91" i="9"/>
  <c r="E85" i="9"/>
  <c r="I85" i="9"/>
  <c r="M85" i="9"/>
  <c r="Q85" i="9"/>
  <c r="U85" i="9"/>
  <c r="E91" i="9"/>
  <c r="I91" i="9"/>
  <c r="M91" i="9"/>
  <c r="Q91" i="9"/>
  <c r="U91" i="9"/>
  <c r="D85" i="9"/>
  <c r="H85" i="9"/>
  <c r="L85" i="9"/>
  <c r="P85" i="9"/>
  <c r="T85" i="9"/>
  <c r="D91" i="9"/>
  <c r="H91" i="9"/>
  <c r="L91" i="9"/>
  <c r="P91" i="9"/>
  <c r="T91" i="9"/>
  <c r="C91" i="9"/>
  <c r="G85" i="9"/>
  <c r="K85" i="9"/>
  <c r="O85" i="9"/>
  <c r="S85" i="9"/>
  <c r="B85" i="9"/>
  <c r="I104" i="9"/>
  <c r="M104" i="9"/>
  <c r="Q104" i="9"/>
  <c r="U104" i="9"/>
  <c r="F104" i="9"/>
  <c r="H104" i="9"/>
  <c r="L104" i="9"/>
  <c r="P104" i="9"/>
  <c r="T104" i="9"/>
  <c r="E104" i="9"/>
  <c r="G104" i="9"/>
  <c r="K104" i="9"/>
  <c r="O104" i="9"/>
  <c r="S104" i="9"/>
  <c r="D104" i="9"/>
  <c r="J104" i="9"/>
  <c r="N104" i="9"/>
  <c r="R104" i="9"/>
  <c r="C104" i="9"/>
  <c r="B104" i="9"/>
  <c r="J109" i="9"/>
  <c r="N109" i="9"/>
  <c r="R109" i="9"/>
  <c r="C109" i="9"/>
  <c r="B109" i="9"/>
  <c r="H103" i="9"/>
  <c r="L103" i="9"/>
  <c r="P103" i="9"/>
  <c r="T103" i="9"/>
  <c r="F103" i="9"/>
  <c r="I109" i="9"/>
  <c r="M109" i="9"/>
  <c r="Q109" i="9"/>
  <c r="U109" i="9"/>
  <c r="F109" i="9"/>
  <c r="G103" i="9"/>
  <c r="K103" i="9"/>
  <c r="O103" i="9"/>
  <c r="S103" i="9"/>
  <c r="E103" i="9"/>
  <c r="H109" i="9"/>
  <c r="L109" i="9"/>
  <c r="P109" i="9"/>
  <c r="T109" i="9"/>
  <c r="E109" i="9"/>
  <c r="J103" i="9"/>
  <c r="N103" i="9"/>
  <c r="R103" i="9"/>
  <c r="D103" i="9"/>
  <c r="B103" i="9"/>
  <c r="G109" i="9"/>
  <c r="K109" i="9"/>
  <c r="O109" i="9"/>
  <c r="S109" i="9"/>
  <c r="D109" i="9"/>
  <c r="I103" i="9"/>
  <c r="M103" i="9"/>
  <c r="Q103" i="9"/>
  <c r="U103" i="9"/>
  <c r="C103" i="9"/>
  <c r="I108" i="9"/>
  <c r="M108" i="9"/>
  <c r="Q108" i="9"/>
  <c r="U108" i="9"/>
  <c r="C108" i="9"/>
  <c r="G102" i="9"/>
  <c r="K102" i="9"/>
  <c r="O102" i="9"/>
  <c r="S102" i="9"/>
  <c r="F102" i="9"/>
  <c r="H108" i="9"/>
  <c r="L108" i="9"/>
  <c r="P108" i="9"/>
  <c r="T108" i="9"/>
  <c r="F108" i="9"/>
  <c r="J102" i="9"/>
  <c r="N102" i="9"/>
  <c r="R102" i="9"/>
  <c r="E102" i="9"/>
  <c r="B102" i="9"/>
  <c r="G108" i="9"/>
  <c r="K108" i="9"/>
  <c r="O108" i="9"/>
  <c r="S108" i="9"/>
  <c r="E108" i="9"/>
  <c r="I102" i="9"/>
  <c r="M102" i="9"/>
  <c r="M111" i="9" s="1"/>
  <c r="Q102" i="9"/>
  <c r="U102" i="9"/>
  <c r="D102" i="9"/>
  <c r="J108" i="9"/>
  <c r="N108" i="9"/>
  <c r="R108" i="9"/>
  <c r="D108" i="9"/>
  <c r="B108" i="9"/>
  <c r="H102" i="9"/>
  <c r="L102" i="9"/>
  <c r="P102" i="9"/>
  <c r="T102" i="9"/>
  <c r="T111" i="9" s="1"/>
  <c r="C102" i="9"/>
  <c r="F10" i="13"/>
  <c r="F22" i="1"/>
  <c r="C5" i="5" s="1"/>
  <c r="F24" i="1"/>
  <c r="C7" i="5" s="1"/>
  <c r="G24" i="1"/>
  <c r="D7" i="5" s="1"/>
  <c r="E24" i="1"/>
  <c r="B7" i="5" s="1"/>
  <c r="E22" i="1"/>
  <c r="B5" i="5" s="1"/>
  <c r="F28" i="1"/>
  <c r="C9" i="5" s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4" i="2"/>
  <c r="B89" i="16" l="1"/>
  <c r="C115" i="16"/>
  <c r="C87" i="16"/>
  <c r="C80" i="16"/>
  <c r="C105" i="19"/>
  <c r="L111" i="9"/>
  <c r="U111" i="9"/>
  <c r="I225" i="17"/>
  <c r="Q225" i="17"/>
  <c r="C105" i="16"/>
  <c r="S193" i="17"/>
  <c r="E225" i="17"/>
  <c r="K209" i="17"/>
  <c r="G193" i="17"/>
  <c r="H209" i="17"/>
  <c r="K225" i="17"/>
  <c r="O209" i="17"/>
  <c r="E103" i="16"/>
  <c r="E105" i="16" s="1"/>
  <c r="E114" i="16"/>
  <c r="E115" i="16" s="1"/>
  <c r="E97" i="16"/>
  <c r="E98" i="16" s="1"/>
  <c r="E79" i="16"/>
  <c r="E80" i="16" s="1"/>
  <c r="B105" i="19"/>
  <c r="D209" i="17"/>
  <c r="R209" i="17"/>
  <c r="L225" i="17"/>
  <c r="B104" i="19"/>
  <c r="B102" i="19"/>
  <c r="C102" i="19"/>
  <c r="D102" i="19"/>
  <c r="P193" i="17"/>
  <c r="K193" i="17"/>
  <c r="Q209" i="17"/>
  <c r="B209" i="17"/>
  <c r="C225" i="17"/>
  <c r="T209" i="17"/>
  <c r="L177" i="17"/>
  <c r="F193" i="17"/>
  <c r="G209" i="17"/>
  <c r="F225" i="17"/>
  <c r="E209" i="17"/>
  <c r="D104" i="19"/>
  <c r="B103" i="19"/>
  <c r="C103" i="19"/>
  <c r="D103" i="19"/>
  <c r="D105" i="19"/>
  <c r="D225" i="17"/>
  <c r="L193" i="17"/>
  <c r="S209" i="17"/>
  <c r="C104" i="19"/>
  <c r="L209" i="17"/>
  <c r="U225" i="17"/>
  <c r="R225" i="17"/>
  <c r="F33" i="13"/>
  <c r="B40" i="13" s="1"/>
  <c r="B41" i="13" s="1"/>
  <c r="B25" i="5" s="1"/>
  <c r="F26" i="16"/>
  <c r="E120" i="16"/>
  <c r="E122" i="16" s="1"/>
  <c r="E124" i="16" s="1"/>
  <c r="E85" i="16"/>
  <c r="E87" i="16" s="1"/>
  <c r="Q177" i="17"/>
  <c r="U177" i="17"/>
  <c r="T193" i="17"/>
  <c r="T225" i="17"/>
  <c r="H193" i="17"/>
  <c r="F209" i="17"/>
  <c r="O225" i="17"/>
  <c r="F177" i="17"/>
  <c r="B177" i="17"/>
  <c r="I177" i="17"/>
  <c r="H177" i="17"/>
  <c r="Q193" i="17"/>
  <c r="R193" i="17"/>
  <c r="S177" i="17"/>
  <c r="G177" i="17"/>
  <c r="N177" i="17"/>
  <c r="J177" i="17"/>
  <c r="E177" i="17"/>
  <c r="P177" i="17"/>
  <c r="U193" i="17"/>
  <c r="T177" i="17"/>
  <c r="S225" i="17"/>
  <c r="C209" i="17"/>
  <c r="P225" i="17"/>
  <c r="H225" i="17"/>
  <c r="I193" i="17"/>
  <c r="J193" i="17"/>
  <c r="E193" i="17"/>
  <c r="C177" i="17"/>
  <c r="R177" i="17"/>
  <c r="M193" i="17"/>
  <c r="N193" i="17"/>
  <c r="D177" i="17"/>
  <c r="D107" i="16"/>
  <c r="B124" i="16"/>
  <c r="C124" i="16"/>
  <c r="C10" i="5"/>
  <c r="D124" i="16"/>
  <c r="B107" i="16"/>
  <c r="E107" i="16"/>
  <c r="C107" i="16"/>
  <c r="D89" i="16"/>
  <c r="B95" i="9"/>
  <c r="O95" i="9"/>
  <c r="G95" i="9"/>
  <c r="C111" i="9"/>
  <c r="P111" i="9"/>
  <c r="H111" i="9"/>
  <c r="Q111" i="9"/>
  <c r="I111" i="9"/>
  <c r="F111" i="9"/>
  <c r="S95" i="9"/>
  <c r="K95" i="9"/>
  <c r="P95" i="9"/>
  <c r="H95" i="9"/>
  <c r="Q95" i="9"/>
  <c r="I95" i="9"/>
  <c r="E111" i="9"/>
  <c r="N111" i="9"/>
  <c r="S111" i="9"/>
  <c r="K111" i="9"/>
  <c r="D111" i="9"/>
  <c r="B111" i="9"/>
  <c r="R111" i="9"/>
  <c r="J111" i="9"/>
  <c r="O111" i="9"/>
  <c r="G111" i="9"/>
  <c r="N95" i="9"/>
  <c r="T95" i="9"/>
  <c r="L95" i="9"/>
  <c r="D95" i="9"/>
  <c r="U95" i="9"/>
  <c r="M95" i="9"/>
  <c r="E95" i="9"/>
  <c r="R95" i="9"/>
  <c r="J95" i="9"/>
  <c r="C95" i="9"/>
  <c r="F95" i="9"/>
  <c r="G10" i="13"/>
  <c r="F30" i="1"/>
  <c r="E28" i="1"/>
  <c r="G28" i="1"/>
  <c r="C89" i="16" l="1"/>
  <c r="B9" i="5"/>
  <c r="B10" i="5" s="1"/>
  <c r="D9" i="5"/>
  <c r="D10" i="5" s="1"/>
  <c r="E89" i="16"/>
  <c r="F103" i="16"/>
  <c r="F105" i="16" s="1"/>
  <c r="F114" i="16"/>
  <c r="F115" i="16" s="1"/>
  <c r="F97" i="16"/>
  <c r="F98" i="16" s="1"/>
  <c r="F79" i="16"/>
  <c r="F80" i="16" s="1"/>
  <c r="B137" i="16"/>
  <c r="C234" i="17"/>
  <c r="G33" i="13"/>
  <c r="G26" i="16"/>
  <c r="F85" i="16"/>
  <c r="F87" i="16" s="1"/>
  <c r="F120" i="16"/>
  <c r="F122" i="16" s="1"/>
  <c r="B234" i="17"/>
  <c r="C232" i="17"/>
  <c r="B232" i="17"/>
  <c r="D232" i="17"/>
  <c r="B233" i="17"/>
  <c r="D233" i="17"/>
  <c r="D234" i="17"/>
  <c r="C233" i="17"/>
  <c r="C117" i="9"/>
  <c r="D117" i="9"/>
  <c r="D118" i="9"/>
  <c r="C118" i="9"/>
  <c r="B118" i="9"/>
  <c r="B117" i="9"/>
  <c r="H10" i="13"/>
  <c r="E30" i="1"/>
  <c r="G30" i="1"/>
  <c r="G103" i="16" l="1"/>
  <c r="G105" i="16" s="1"/>
  <c r="G114" i="16"/>
  <c r="G115" i="16" s="1"/>
  <c r="G97" i="16"/>
  <c r="G98" i="16" s="1"/>
  <c r="G79" i="16"/>
  <c r="G80" i="16" s="1"/>
  <c r="B130" i="16"/>
  <c r="F107" i="16"/>
  <c r="B144" i="16" s="1"/>
  <c r="B129" i="16"/>
  <c r="B31" i="5" s="1"/>
  <c r="B131" i="16"/>
  <c r="G107" i="16"/>
  <c r="H33" i="13"/>
  <c r="H26" i="16"/>
  <c r="B136" i="16"/>
  <c r="B32" i="5" s="1"/>
  <c r="F89" i="16"/>
  <c r="F124" i="16"/>
  <c r="B138" i="16"/>
  <c r="G120" i="16"/>
  <c r="G122" i="16" s="1"/>
  <c r="G85" i="16"/>
  <c r="G87" i="16" s="1"/>
  <c r="D119" i="9"/>
  <c r="D24" i="5" s="1"/>
  <c r="C119" i="9"/>
  <c r="C24" i="5" s="1"/>
  <c r="B119" i="9"/>
  <c r="B24" i="5" s="1"/>
  <c r="I10" i="13"/>
  <c r="G124" i="16" l="1"/>
  <c r="B33" i="5"/>
  <c r="G89" i="16"/>
  <c r="H103" i="16"/>
  <c r="H105" i="16" s="1"/>
  <c r="H114" i="16"/>
  <c r="H115" i="16" s="1"/>
  <c r="H97" i="16"/>
  <c r="H98" i="16" s="1"/>
  <c r="H79" i="16"/>
  <c r="H80" i="16" s="1"/>
  <c r="B145" i="16"/>
  <c r="I33" i="13"/>
  <c r="I26" i="16"/>
  <c r="B143" i="16"/>
  <c r="H85" i="16"/>
  <c r="H87" i="16" s="1"/>
  <c r="H120" i="16"/>
  <c r="H122" i="16" s="1"/>
  <c r="H124" i="16" s="1"/>
  <c r="J10" i="13"/>
  <c r="J26" i="16" s="1"/>
  <c r="C4" i="2"/>
  <c r="H89" i="16" l="1"/>
  <c r="J33" i="13"/>
  <c r="H107" i="16"/>
  <c r="J103" i="16"/>
  <c r="J105" i="16" s="1"/>
  <c r="J114" i="16"/>
  <c r="J115" i="16" s="1"/>
  <c r="J97" i="16"/>
  <c r="J98" i="16" s="1"/>
  <c r="J79" i="16"/>
  <c r="J80" i="16" s="1"/>
  <c r="I103" i="16"/>
  <c r="I105" i="16" s="1"/>
  <c r="I114" i="16"/>
  <c r="I115" i="16" s="1"/>
  <c r="I97" i="16"/>
  <c r="I98" i="16" s="1"/>
  <c r="I79" i="16"/>
  <c r="I80" i="16" s="1"/>
  <c r="I120" i="16"/>
  <c r="I122" i="16" s="1"/>
  <c r="I85" i="16"/>
  <c r="I87" i="16" s="1"/>
  <c r="J85" i="16"/>
  <c r="J87" i="16" s="1"/>
  <c r="J120" i="16"/>
  <c r="J122" i="16" s="1"/>
  <c r="K10" i="13"/>
  <c r="C5" i="2"/>
  <c r="C6" i="2" s="1"/>
  <c r="C7" i="2" s="1"/>
  <c r="C8" i="2" s="1"/>
  <c r="B15" i="18" s="1"/>
  <c r="B20" i="18" s="1"/>
  <c r="B38" i="5" s="1"/>
  <c r="I107" i="16" l="1"/>
  <c r="I89" i="16"/>
  <c r="J124" i="16"/>
  <c r="J89" i="16"/>
  <c r="J107" i="16"/>
  <c r="K33" i="13"/>
  <c r="C40" i="13" s="1"/>
  <c r="C41" i="13" s="1"/>
  <c r="C25" i="5" s="1"/>
  <c r="C26" i="5" s="1"/>
  <c r="K26" i="16"/>
  <c r="I124" i="16"/>
  <c r="E12" i="1"/>
  <c r="E23" i="15"/>
  <c r="L10" i="13"/>
  <c r="C9" i="2"/>
  <c r="C10" i="2" s="1"/>
  <c r="C11" i="2" s="1"/>
  <c r="C12" i="2" s="1"/>
  <c r="C13" i="2" s="1"/>
  <c r="C15" i="18" s="1"/>
  <c r="C20" i="18" s="1"/>
  <c r="C38" i="5" s="1"/>
  <c r="K103" i="16" l="1"/>
  <c r="K105" i="16" s="1"/>
  <c r="C137" i="16" s="1"/>
  <c r="K114" i="16"/>
  <c r="K115" i="16" s="1"/>
  <c r="K97" i="16"/>
  <c r="K98" i="16" s="1"/>
  <c r="K79" i="16"/>
  <c r="K80" i="16" s="1"/>
  <c r="E52" i="1"/>
  <c r="B15" i="5" s="1"/>
  <c r="L33" i="13"/>
  <c r="L26" i="16"/>
  <c r="K120" i="16"/>
  <c r="K122" i="16" s="1"/>
  <c r="K85" i="16"/>
  <c r="K87" i="16" s="1"/>
  <c r="E29" i="15"/>
  <c r="B16" i="5" s="1"/>
  <c r="E28" i="15"/>
  <c r="B17" i="5" s="1"/>
  <c r="F12" i="1"/>
  <c r="F23" i="15"/>
  <c r="M10" i="13"/>
  <c r="E48" i="1"/>
  <c r="B14" i="5" s="1"/>
  <c r="E44" i="1"/>
  <c r="B13" i="5" s="1"/>
  <c r="E43" i="1"/>
  <c r="B12" i="5" s="1"/>
  <c r="C14" i="2"/>
  <c r="C15" i="2" s="1"/>
  <c r="C16" i="2" s="1"/>
  <c r="C17" i="2" s="1"/>
  <c r="C18" i="2" s="1"/>
  <c r="C19" i="2" s="1"/>
  <c r="C20" i="2" s="1"/>
  <c r="C21" i="2" s="1"/>
  <c r="C22" i="2" s="1"/>
  <c r="C23" i="2" s="1"/>
  <c r="D15" i="18" s="1"/>
  <c r="D20" i="18" s="1"/>
  <c r="D38" i="5" s="1"/>
  <c r="K107" i="16" l="1"/>
  <c r="C144" i="16" s="1"/>
  <c r="L103" i="16"/>
  <c r="L105" i="16" s="1"/>
  <c r="L114" i="16"/>
  <c r="L115" i="16" s="1"/>
  <c r="L97" i="16"/>
  <c r="L98" i="16" s="1"/>
  <c r="L79" i="16"/>
  <c r="L80" i="16" s="1"/>
  <c r="E53" i="1"/>
  <c r="C130" i="16"/>
  <c r="C129" i="16"/>
  <c r="C31" i="5" s="1"/>
  <c r="C131" i="16"/>
  <c r="F52" i="1"/>
  <c r="C15" i="5" s="1"/>
  <c r="K124" i="16"/>
  <c r="C138" i="16"/>
  <c r="M33" i="13"/>
  <c r="M26" i="16"/>
  <c r="K89" i="16"/>
  <c r="C143" i="16" s="1"/>
  <c r="C136" i="16"/>
  <c r="C32" i="5" s="1"/>
  <c r="C33" i="5" s="1"/>
  <c r="L85" i="16"/>
  <c r="L87" i="16" s="1"/>
  <c r="L120" i="16"/>
  <c r="L122" i="16" s="1"/>
  <c r="F28" i="15"/>
  <c r="C17" i="5" s="1"/>
  <c r="F29" i="15"/>
  <c r="C16" i="5" s="1"/>
  <c r="B26" i="5"/>
  <c r="B44" i="5" s="1"/>
  <c r="G12" i="1"/>
  <c r="G23" i="15"/>
  <c r="N10" i="13"/>
  <c r="F48" i="1"/>
  <c r="C14" i="5" s="1"/>
  <c r="E49" i="1"/>
  <c r="C24" i="2"/>
  <c r="C25" i="2" s="1"/>
  <c r="C26" i="2" s="1"/>
  <c r="C27" i="2" s="1"/>
  <c r="C28" i="2" s="1"/>
  <c r="C29" i="2" s="1"/>
  <c r="C30" i="2" s="1"/>
  <c r="C31" i="2" s="1"/>
  <c r="C32" i="2" s="1"/>
  <c r="C33" i="2" s="1"/>
  <c r="F43" i="1"/>
  <c r="C12" i="5" s="1"/>
  <c r="F44" i="1"/>
  <c r="C13" i="5" s="1"/>
  <c r="E45" i="1"/>
  <c r="L124" i="16" l="1"/>
  <c r="E55" i="1"/>
  <c r="L89" i="16"/>
  <c r="C44" i="5"/>
  <c r="F53" i="1"/>
  <c r="L107" i="16"/>
  <c r="M103" i="16"/>
  <c r="M105" i="16" s="1"/>
  <c r="M114" i="16"/>
  <c r="M115" i="16" s="1"/>
  <c r="M97" i="16"/>
  <c r="M98" i="16" s="1"/>
  <c r="M79" i="16"/>
  <c r="M80" i="16" s="1"/>
  <c r="G52" i="1"/>
  <c r="D15" i="5" s="1"/>
  <c r="N33" i="13"/>
  <c r="N26" i="16"/>
  <c r="M120" i="16"/>
  <c r="M122" i="16" s="1"/>
  <c r="M85" i="16"/>
  <c r="M87" i="16" s="1"/>
  <c r="C145" i="16"/>
  <c r="G28" i="15"/>
  <c r="D17" i="5" s="1"/>
  <c r="G29" i="15"/>
  <c r="D16" i="5" s="1"/>
  <c r="B18" i="5"/>
  <c r="B19" i="5" s="1"/>
  <c r="B43" i="5" s="1"/>
  <c r="O10" i="13"/>
  <c r="F49" i="1"/>
  <c r="G48" i="1"/>
  <c r="D14" i="5" s="1"/>
  <c r="G43" i="1"/>
  <c r="D12" i="5" s="1"/>
  <c r="G44" i="1"/>
  <c r="D13" i="5" s="1"/>
  <c r="F45" i="1"/>
  <c r="M124" i="16" l="1"/>
  <c r="M89" i="16"/>
  <c r="N103" i="16"/>
  <c r="N105" i="16" s="1"/>
  <c r="N107" i="16" s="1"/>
  <c r="N114" i="16"/>
  <c r="N115" i="16" s="1"/>
  <c r="N97" i="16"/>
  <c r="N98" i="16" s="1"/>
  <c r="N79" i="16"/>
  <c r="N80" i="16" s="1"/>
  <c r="G53" i="1"/>
  <c r="M107" i="16"/>
  <c r="F55" i="1"/>
  <c r="O33" i="13"/>
  <c r="O26" i="16"/>
  <c r="N85" i="16"/>
  <c r="N87" i="16" s="1"/>
  <c r="N120" i="16"/>
  <c r="N122" i="16" s="1"/>
  <c r="C18" i="5"/>
  <c r="C19" i="5" s="1"/>
  <c r="C43" i="5" s="1"/>
  <c r="C45" i="5" s="1"/>
  <c r="B45" i="5"/>
  <c r="P10" i="13"/>
  <c r="G49" i="1"/>
  <c r="G45" i="1"/>
  <c r="N124" i="16" l="1"/>
  <c r="N89" i="16"/>
  <c r="O103" i="16"/>
  <c r="O105" i="16" s="1"/>
  <c r="O114" i="16"/>
  <c r="O115" i="16" s="1"/>
  <c r="O97" i="16"/>
  <c r="O98" i="16" s="1"/>
  <c r="O79" i="16"/>
  <c r="O80" i="16" s="1"/>
  <c r="D18" i="5"/>
  <c r="D19" i="5" s="1"/>
  <c r="D43" i="5" s="1"/>
  <c r="G55" i="1"/>
  <c r="O120" i="16"/>
  <c r="O122" i="16" s="1"/>
  <c r="O85" i="16"/>
  <c r="O87" i="16" s="1"/>
  <c r="O89" i="16" s="1"/>
  <c r="P33" i="13"/>
  <c r="P26" i="16"/>
  <c r="Q10" i="13"/>
  <c r="O124" i="16" l="1"/>
  <c r="O107" i="16"/>
  <c r="P103" i="16"/>
  <c r="P105" i="16" s="1"/>
  <c r="P114" i="16"/>
  <c r="P115" i="16" s="1"/>
  <c r="P97" i="16"/>
  <c r="P98" i="16" s="1"/>
  <c r="P79" i="16"/>
  <c r="P80" i="16" s="1"/>
  <c r="Q33" i="13"/>
  <c r="Q26" i="16"/>
  <c r="P85" i="16"/>
  <c r="P87" i="16" s="1"/>
  <c r="P120" i="16"/>
  <c r="P122" i="16" s="1"/>
  <c r="R10" i="13"/>
  <c r="P124" i="16" l="1"/>
  <c r="P89" i="16"/>
  <c r="Q103" i="16"/>
  <c r="Q105" i="16" s="1"/>
  <c r="Q114" i="16"/>
  <c r="Q115" i="16" s="1"/>
  <c r="Q97" i="16"/>
  <c r="Q98" i="16" s="1"/>
  <c r="Q79" i="16"/>
  <c r="Q80" i="16" s="1"/>
  <c r="P107" i="16"/>
  <c r="R33" i="13"/>
  <c r="R26" i="16"/>
  <c r="Q120" i="16"/>
  <c r="Q122" i="16" s="1"/>
  <c r="Q85" i="16"/>
  <c r="Q87" i="16" s="1"/>
  <c r="S10" i="13"/>
  <c r="Q124" i="16" l="1"/>
  <c r="Q89" i="16"/>
  <c r="R103" i="16"/>
  <c r="R105" i="16" s="1"/>
  <c r="R114" i="16"/>
  <c r="R115" i="16" s="1"/>
  <c r="R97" i="16"/>
  <c r="R98" i="16" s="1"/>
  <c r="R79" i="16"/>
  <c r="R80" i="16" s="1"/>
  <c r="Q107" i="16"/>
  <c r="S33" i="13"/>
  <c r="S26" i="16"/>
  <c r="R85" i="16"/>
  <c r="R87" i="16" s="1"/>
  <c r="R120" i="16"/>
  <c r="R122" i="16" s="1"/>
  <c r="T10" i="13"/>
  <c r="T26" i="16" s="1"/>
  <c r="R89" i="16" l="1"/>
  <c r="T33" i="13"/>
  <c r="R124" i="16"/>
  <c r="T103" i="16"/>
  <c r="T105" i="16" s="1"/>
  <c r="T114" i="16"/>
  <c r="T115" i="16" s="1"/>
  <c r="T97" i="16"/>
  <c r="T98" i="16" s="1"/>
  <c r="T79" i="16"/>
  <c r="T80" i="16" s="1"/>
  <c r="S103" i="16"/>
  <c r="S105" i="16" s="1"/>
  <c r="S114" i="16"/>
  <c r="S115" i="16" s="1"/>
  <c r="S97" i="16"/>
  <c r="S98" i="16" s="1"/>
  <c r="S79" i="16"/>
  <c r="S80" i="16" s="1"/>
  <c r="R107" i="16"/>
  <c r="T85" i="16"/>
  <c r="T87" i="16" s="1"/>
  <c r="T120" i="16"/>
  <c r="T122" i="16" s="1"/>
  <c r="S120" i="16"/>
  <c r="S122" i="16" s="1"/>
  <c r="S85" i="16"/>
  <c r="S87" i="16" s="1"/>
  <c r="U10" i="13"/>
  <c r="S124" i="16" l="1"/>
  <c r="T89" i="16"/>
  <c r="T124" i="16"/>
  <c r="S89" i="16"/>
  <c r="S107" i="16"/>
  <c r="T107" i="16"/>
  <c r="U33" i="13"/>
  <c r="D40" i="13" s="1"/>
  <c r="D41" i="13" s="1"/>
  <c r="U26" i="16"/>
  <c r="D25" i="5" l="1"/>
  <c r="D26" i="5" s="1"/>
  <c r="U103" i="16"/>
  <c r="U105" i="16" s="1"/>
  <c r="D137" i="16" s="1"/>
  <c r="U114" i="16"/>
  <c r="U115" i="16" s="1"/>
  <c r="D131" i="16" s="1"/>
  <c r="U97" i="16"/>
  <c r="U98" i="16" s="1"/>
  <c r="D130" i="16" s="1"/>
  <c r="U79" i="16"/>
  <c r="U80" i="16" s="1"/>
  <c r="D129" i="16" s="1"/>
  <c r="D31" i="5" s="1"/>
  <c r="U107" i="16"/>
  <c r="D144" i="16" s="1"/>
  <c r="U120" i="16"/>
  <c r="U122" i="16" s="1"/>
  <c r="U85" i="16"/>
  <c r="U87" i="16" s="1"/>
  <c r="U89" i="16" l="1"/>
  <c r="D143" i="16" s="1"/>
  <c r="D136" i="16"/>
  <c r="D32" i="5" s="1"/>
  <c r="D33" i="5" s="1"/>
  <c r="U124" i="16"/>
  <c r="D145" i="16" s="1"/>
  <c r="D138" i="16"/>
  <c r="D44" i="5" l="1"/>
  <c r="D45" i="5" s="1"/>
</calcChain>
</file>

<file path=xl/comments1.xml><?xml version="1.0" encoding="utf-8"?>
<comments xmlns="http://schemas.openxmlformats.org/spreadsheetml/2006/main">
  <authors>
    <author>Rachel Holden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Rachel Holden:</t>
        </r>
        <r>
          <rPr>
            <sz val="9"/>
            <color indexed="81"/>
            <rFont val="Tahoma"/>
            <family val="2"/>
          </rPr>
          <t xml:space="preserve">
mid-point DR</t>
        </r>
      </text>
    </comment>
  </commentList>
</comments>
</file>

<file path=xl/sharedStrings.xml><?xml version="1.0" encoding="utf-8"?>
<sst xmlns="http://schemas.openxmlformats.org/spreadsheetml/2006/main" count="892" uniqueCount="216">
  <si>
    <t>Discount rate</t>
  </si>
  <si>
    <t>Year</t>
  </si>
  <si>
    <t>DF</t>
  </si>
  <si>
    <t>Cum DF</t>
  </si>
  <si>
    <t>$k</t>
  </si>
  <si>
    <t>Present value cumulative discount factors</t>
  </si>
  <si>
    <t>Assumptions</t>
  </si>
  <si>
    <t>Time period for assessment</t>
  </si>
  <si>
    <t>10 years</t>
  </si>
  <si>
    <t>20 years</t>
  </si>
  <si>
    <t>Total costs</t>
  </si>
  <si>
    <t>5yr</t>
  </si>
  <si>
    <t>10yr</t>
  </si>
  <si>
    <t>20yr</t>
  </si>
  <si>
    <t>5 years</t>
  </si>
  <si>
    <t>Implementation/one-off cost estimates</t>
  </si>
  <si>
    <t>Auditors - understanding new requirements</t>
  </si>
  <si>
    <t>Auditor - cost per hour</t>
  </si>
  <si>
    <t>TOTAL</t>
  </si>
  <si>
    <t>Reconciliation participant</t>
  </si>
  <si>
    <t>Distributor</t>
  </si>
  <si>
    <t>Metering Equipment</t>
  </si>
  <si>
    <t>Dispatchable load</t>
  </si>
  <si>
    <t>DUML</t>
  </si>
  <si>
    <t>Agents</t>
  </si>
  <si>
    <t>Type of participant</t>
  </si>
  <si>
    <t>Complexity</t>
  </si>
  <si>
    <t>Very low</t>
  </si>
  <si>
    <t>Low</t>
  </si>
  <si>
    <t>Medium</t>
  </si>
  <si>
    <t>High</t>
  </si>
  <si>
    <t>Total ex DUML</t>
  </si>
  <si>
    <t>Proportions</t>
  </si>
  <si>
    <t>Cost assumptions</t>
  </si>
  <si>
    <t>Number of audits excludes DUML audits as well as any material change audits that may occur each year</t>
  </si>
  <si>
    <t>Authority cost $k (external)</t>
  </si>
  <si>
    <t>Authority effort (hrs) (internal)</t>
  </si>
  <si>
    <t>Participant audit cost $000 (external)</t>
  </si>
  <si>
    <t>Participant audit effort (hrs) (internal)</t>
  </si>
  <si>
    <t>Cost per hour of internal effort $</t>
  </si>
  <si>
    <t>Total cost per annum</t>
  </si>
  <si>
    <t>Participant</t>
  </si>
  <si>
    <t>$</t>
  </si>
  <si>
    <t>Med</t>
  </si>
  <si>
    <t>Total</t>
  </si>
  <si>
    <t>TOTAL COSTS ($k)</t>
  </si>
  <si>
    <t>Authority's expectation of new audit frequency (months)</t>
  </si>
  <si>
    <t>Note: current (status quo) frequency is 12 months for these audits</t>
  </si>
  <si>
    <t>$k (p.a.)</t>
  </si>
  <si>
    <t>Auditor costs</t>
  </si>
  <si>
    <t>Implementation/one-off costs</t>
  </si>
  <si>
    <t>Efficiency gain</t>
  </si>
  <si>
    <t>PV of costs</t>
  </si>
  <si>
    <t>Auditors keeping up with auditor guidelines based on ISAE 3000 (NZ) standard</t>
  </si>
  <si>
    <t>Number of auditors</t>
  </si>
  <si>
    <t>Auditors - hours to understand new requirements per auditor</t>
  </si>
  <si>
    <t>Authority's expectations of proportions of poor and good quality DUML audits</t>
  </si>
  <si>
    <t>Poor quality</t>
  </si>
  <si>
    <t>Good quality</t>
  </si>
  <si>
    <t>Quality</t>
  </si>
  <si>
    <t>Authority's expectation of any additional audits required (per annum)</t>
  </si>
  <si>
    <t>Material change audits</t>
  </si>
  <si>
    <t>Agent audits</t>
  </si>
  <si>
    <t>Relative costs of poor and good quality DUML audits</t>
  </si>
  <si>
    <t>Poor</t>
  </si>
  <si>
    <t>Good</t>
  </si>
  <si>
    <t>Average variable cost per audit for DUML audits</t>
  </si>
  <si>
    <t>Relative costs of low, med and high complexity (for reconciliation participants and distributors)</t>
  </si>
  <si>
    <t>Cost of material change audit relative to average cost of audit</t>
  </si>
  <si>
    <t>Estimated cost of audits per annum</t>
  </si>
  <si>
    <t>Status quo</t>
  </si>
  <si>
    <t>Average cost per audit of DUML audit under status quo</t>
  </si>
  <si>
    <t>Present value of costs</t>
  </si>
  <si>
    <t>Number of audits (under status quo)</t>
  </si>
  <si>
    <t>Cost assumptions (under status quo)</t>
  </si>
  <si>
    <t>Authority (internal) - cost per hour</t>
  </si>
  <si>
    <t>Ongoing costs (p.a.)</t>
  </si>
  <si>
    <t>Maintenance of standard issues register</t>
  </si>
  <si>
    <t>Authority - hours p.a. to maintain standard issues register</t>
  </si>
  <si>
    <t>Training ISO auditors</t>
  </si>
  <si>
    <t>Number of ISO auditors</t>
  </si>
  <si>
    <t>Auditors - hours p.a. to maintain knowledge on guidelines</t>
  </si>
  <si>
    <t>ISO Auditor costs</t>
  </si>
  <si>
    <t>Annual training course</t>
  </si>
  <si>
    <t>Ongoing costs (excluding any changes to hours work required per audit and number of audits per annum)</t>
  </si>
  <si>
    <t>PV of changes in number of audits per annum</t>
  </si>
  <si>
    <t>Participants (internal) - cost per hour</t>
  </si>
  <si>
    <t>EA</t>
  </si>
  <si>
    <t>Auditor</t>
  </si>
  <si>
    <t>Estimates of costs not dependent on number of audits per annum</t>
  </si>
  <si>
    <t>Authority costs</t>
  </si>
  <si>
    <t>General assumptions</t>
  </si>
  <si>
    <t>TOTAL IMPLEMENTATION/ONE-OFF COSTS</t>
  </si>
  <si>
    <t>Authority - hours preparing for ISO auditors training p.a.</t>
  </si>
  <si>
    <t>Authority/ISO auditors - hours of training course p.a.</t>
  </si>
  <si>
    <t>Average variable cost per agent audit</t>
  </si>
  <si>
    <t>Initial audit frequency under proposal</t>
  </si>
  <si>
    <t>Reconciliation participants</t>
  </si>
  <si>
    <t>Low complexity</t>
  </si>
  <si>
    <t>Medium complexity</t>
  </si>
  <si>
    <t>High complexity</t>
  </si>
  <si>
    <t>6 months</t>
  </si>
  <si>
    <t>12 months</t>
  </si>
  <si>
    <t>18 months</t>
  </si>
  <si>
    <t>24 months</t>
  </si>
  <si>
    <t>check</t>
  </si>
  <si>
    <t>Distributors</t>
  </si>
  <si>
    <t>Final audit frequency under proposal</t>
  </si>
  <si>
    <t>Years to get to final audit frequency</t>
  </si>
  <si>
    <t>Number of audits for each frequency</t>
  </si>
  <si>
    <t>Percentage of audits at each frequency</t>
  </si>
  <si>
    <t>Average frequency  (months)</t>
  </si>
  <si>
    <t>Average cost per audit</t>
  </si>
  <si>
    <t>Average cost per audit for different complexity</t>
  </si>
  <si>
    <t>Estimated cost of audits for reconciliation participants and distributors under status quo</t>
  </si>
  <si>
    <t>TOTAL COSTS ($k) PER ANNUM</t>
  </si>
  <si>
    <t>Estimated cost of audits for reconciliation participants and distributors under proposal</t>
  </si>
  <si>
    <t>Reconciliation</t>
  </si>
  <si>
    <t>TOTAL COST ($k) PER ANNUM</t>
  </si>
  <si>
    <t>Average frequency (months) under proposal</t>
  </si>
  <si>
    <t>Number of audits (excl. DUML and material change audits) under status quo</t>
  </si>
  <si>
    <t>Metering</t>
  </si>
  <si>
    <t>Dispatchable Load</t>
  </si>
  <si>
    <t>Total implementation costs</t>
  </si>
  <si>
    <t>Total ongoing costs</t>
  </si>
  <si>
    <t>Average frequency (months) under scenario B</t>
  </si>
  <si>
    <t>Average frequency (months) under scenario C</t>
  </si>
  <si>
    <t>Average frequency (months) under scenario D</t>
  </si>
  <si>
    <t>SCENARIO B</t>
  </si>
  <si>
    <t>SCENARIO C</t>
  </si>
  <si>
    <t>SCENARIO D</t>
  </si>
  <si>
    <t>Estimated cost of audits for reconciliation participants and distributors under scenario B</t>
  </si>
  <si>
    <t>Estimated cost of audits for reconciliation participants and distributors under scenario C</t>
  </si>
  <si>
    <t>Estimated cost of audits for reconciliation participants and distributors under scenario D</t>
  </si>
  <si>
    <t>Scenario B</t>
  </si>
  <si>
    <t>Scenario C</t>
  </si>
  <si>
    <t>Estimate of benefit from reduced number of exemptions for new entrants</t>
  </si>
  <si>
    <t>Days work required per exemption</t>
  </si>
  <si>
    <t>Number of exemptions per annum under status quo</t>
  </si>
  <si>
    <t>Cost saving per exemption avoided</t>
  </si>
  <si>
    <t>Cost saving per annum</t>
  </si>
  <si>
    <t>PV of avoided exemptions for new retailers</t>
  </si>
  <si>
    <t>Hours/audit change</t>
  </si>
  <si>
    <t>Central assumptions</t>
  </si>
  <si>
    <t>- increase in hours</t>
  </si>
  <si>
    <t>- decrease in hours</t>
  </si>
  <si>
    <t>Benefit less cost</t>
  </si>
  <si>
    <t>High cost/low benefit scenario</t>
  </si>
  <si>
    <t>High cost/low benefit scenario (+25% for costs, -25% for benefits)</t>
  </si>
  <si>
    <t>ESTIMATE OF COST AND BENEFIT</t>
  </si>
  <si>
    <t>ESTIMATE OF HOURS CHANGE PER AUDIT</t>
  </si>
  <si>
    <t>Present value of increase in hours (cost)</t>
  </si>
  <si>
    <t>Present value of reduction in hours (benefit)</t>
  </si>
  <si>
    <t>Net present value of change in hours</t>
  </si>
  <si>
    <t>Increased number of agent audits</t>
  </si>
  <si>
    <t>Increased number of material change audits</t>
  </si>
  <si>
    <t>Auditor - DUML only</t>
  </si>
  <si>
    <t>ISO Auditor - Reconciliation participant audits only</t>
  </si>
  <si>
    <t>PV of benefits</t>
  </si>
  <si>
    <t>Average frequency of audits (months)</t>
  </si>
  <si>
    <t>Central assumption</t>
  </si>
  <si>
    <t>Scenario B - takes longer to get to 0% poor quality (6th year)</t>
  </si>
  <si>
    <t>Scenario C - good quality audits occur every 18 months (instead of 24 months)</t>
  </si>
  <si>
    <t>Scenario D - good quality audits occur every 18 months (instead of 24 months) and it takes longer to get 0% poor quality (6th year)</t>
  </si>
  <si>
    <t>CENTRAL ASSUMPTION</t>
  </si>
  <si>
    <t>Common assumptions</t>
  </si>
  <si>
    <t>Scenario D</t>
  </si>
  <si>
    <t>Present value of scenarios</t>
  </si>
  <si>
    <t>Extra high cost/extra low benefit scenario (+40% for costs, -40% for benefits)</t>
  </si>
  <si>
    <t>Extra high cost/extra low benefit scenario</t>
  </si>
  <si>
    <t>Authority - development of new automated processes (including for publishing information)</t>
  </si>
  <si>
    <t>Authority - implementing DUML audit changes in RAD</t>
  </si>
  <si>
    <t>Authority - enhancing registry to allow participants to receive compliance info</t>
  </si>
  <si>
    <t>Authority - development of guidelines</t>
  </si>
  <si>
    <t>Authority - maintenance of standard issues register</t>
  </si>
  <si>
    <t>Authority - training of ISO auditors</t>
  </si>
  <si>
    <t>Auditors - keeping up with auditor guidelines based on ISAE 3000 (NZ) standard</t>
  </si>
  <si>
    <t>ISO Auditors - annual training course</t>
  </si>
  <si>
    <t>Participant - DUML only</t>
  </si>
  <si>
    <t xml:space="preserve">NPV of proposed changes </t>
  </si>
  <si>
    <t>Present value of costs ($k)</t>
  </si>
  <si>
    <t>Present value of benefits from reduced audit frequency ($k)</t>
  </si>
  <si>
    <t>PV of cost from increased hours per audit</t>
  </si>
  <si>
    <t>PV of benefit from reduced hours per audit</t>
  </si>
  <si>
    <t>NPV of benefit/cost from changes in hours per audit</t>
  </si>
  <si>
    <t>Present value of benefits from changes in hours per audit ($k)</t>
  </si>
  <si>
    <t>Fewer audits per annum for reconciliation participants and distributors</t>
  </si>
  <si>
    <t>Frequency changes in DUML audits</t>
  </si>
  <si>
    <t>Present value of benefit from avoided exemption requests for new entrants ($k)</t>
  </si>
  <si>
    <t>Net present value of proposed changes ($k)</t>
  </si>
  <si>
    <t>Authority - development of new automated processes (including for publishing information) (RAD changes)</t>
  </si>
  <si>
    <t>Present value</t>
  </si>
  <si>
    <t>TOTAL ONGOING COSTS</t>
  </si>
  <si>
    <t>Total increase in cost of material change audits per annum</t>
  </si>
  <si>
    <t>Total increase in cost of agent audits per annum</t>
  </si>
  <si>
    <t>Cost per annum</t>
  </si>
  <si>
    <t>Costs from aditional material change audits per annum</t>
  </si>
  <si>
    <t>Costs from aditional agent audits per annum</t>
  </si>
  <si>
    <t>Authority's expectation of number of audits per annum (under status quo)</t>
  </si>
  <si>
    <t>Authority's expectation of audit frequency (months) for reconciliation participants and distributors under proposed changes</t>
  </si>
  <si>
    <t>Average frequency</t>
  </si>
  <si>
    <t>months</t>
  </si>
  <si>
    <t>Average cost per audit by level of complexity</t>
  </si>
  <si>
    <t>Proposed changes</t>
  </si>
  <si>
    <t xml:space="preserve">Positive number indicates proposed changes reduce costs (efficiency gain), while a negative number indicates proposed changes increase costs (efficiency loss). </t>
  </si>
  <si>
    <t>Note: current (status quo) frequency is assumed to be 12 months for these audits</t>
  </si>
  <si>
    <t>Authority's expectation of audit frequency (months) under proposed changes</t>
  </si>
  <si>
    <t>Estimated cost of audits per annum ($k)</t>
  </si>
  <si>
    <t>Number of audits (excl. DUML and material change audits) under proposed changes</t>
  </si>
  <si>
    <t>Authority's expectation of proportions of type of audit under status quo</t>
  </si>
  <si>
    <t>SCENARIOS FOR SENSITIVITY ANALYSIS</t>
  </si>
  <si>
    <t>Cost saving from reduced number of exemptions for new entrants</t>
  </si>
  <si>
    <t>Authority's expectation of new audit frequency (months) for reconciliation participants and distributors - scenario B (same as central but takes 10 years for frequencies to fully reduce instead of 5 years)</t>
  </si>
  <si>
    <t>Authority's expectation of new audit frequency (months) for reconciliation participants and distributors - scenario C (audit frequencies reduce to 15 months initially and then 18 months in 5 years)</t>
  </si>
  <si>
    <t>Authority's expectation of new audit frequency (months) for reconciliation participants and distributors - scenario D (audit frequencies reduce to 15 months intially and then 18 months in 10 years)</t>
  </si>
  <si>
    <t>Efficiency gain relative to status quo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</si>
</sst>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0.0"/>
    <numFmt numFmtId="167" formatCode="#,##0_ ;[Red]\-#,##0\ "/>
    <numFmt numFmtId="168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164" fontId="0" fillId="0" borderId="0" xfId="0" applyNumberFormat="1"/>
    <xf numFmtId="0" fontId="0" fillId="2" borderId="0" xfId="0" applyFill="1"/>
    <xf numFmtId="165" fontId="0" fillId="0" borderId="0" xfId="2" applyNumberFormat="1" applyFont="1"/>
    <xf numFmtId="9" fontId="0" fillId="2" borderId="0" xfId="1" applyFont="1" applyFill="1"/>
    <xf numFmtId="0" fontId="4" fillId="0" borderId="0" xfId="0" applyFont="1"/>
    <xf numFmtId="0" fontId="0" fillId="0" borderId="0" xfId="0" applyAlignment="1"/>
    <xf numFmtId="2" fontId="0" fillId="0" borderId="0" xfId="0" applyNumberFormat="1"/>
    <xf numFmtId="0" fontId="0" fillId="0" borderId="0" xfId="0" applyFill="1"/>
    <xf numFmtId="0" fontId="6" fillId="0" borderId="0" xfId="0" applyFont="1" applyAlignment="1">
      <alignment horizontal="left" indent="8"/>
    </xf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165" fontId="5" fillId="0" borderId="5" xfId="2" applyNumberFormat="1" applyFont="1" applyBorder="1" applyAlignment="1">
      <alignment horizontal="right" vertical="top" wrapText="1"/>
    </xf>
    <xf numFmtId="0" fontId="6" fillId="0" borderId="0" xfId="0" applyFont="1"/>
    <xf numFmtId="1" fontId="0" fillId="0" borderId="0" xfId="0" applyNumberFormat="1"/>
    <xf numFmtId="0" fontId="4" fillId="0" borderId="0" xfId="0" applyFont="1" applyFill="1"/>
    <xf numFmtId="6" fontId="0" fillId="2" borderId="0" xfId="1" applyNumberFormat="1" applyFont="1" applyFill="1"/>
    <xf numFmtId="1" fontId="0" fillId="2" borderId="0" xfId="1" applyNumberFormat="1" applyFont="1" applyFill="1"/>
    <xf numFmtId="1" fontId="4" fillId="0" borderId="0" xfId="0" applyNumberFormat="1" applyFont="1"/>
    <xf numFmtId="1" fontId="0" fillId="0" borderId="0" xfId="0" applyNumberFormat="1" applyFill="1"/>
    <xf numFmtId="9" fontId="0" fillId="0" borderId="0" xfId="1" applyFont="1"/>
    <xf numFmtId="0" fontId="0" fillId="0" borderId="0" xfId="0" applyAlignment="1">
      <alignment wrapText="1"/>
    </xf>
    <xf numFmtId="0" fontId="4" fillId="4" borderId="0" xfId="0" applyFont="1" applyFill="1"/>
    <xf numFmtId="0" fontId="0" fillId="4" borderId="0" xfId="0" applyFill="1"/>
    <xf numFmtId="166" fontId="0" fillId="4" borderId="0" xfId="0" applyNumberFormat="1" applyFill="1"/>
    <xf numFmtId="166" fontId="4" fillId="4" borderId="0" xfId="0" applyNumberFormat="1" applyFont="1" applyFill="1" applyAlignment="1">
      <alignment horizontal="right"/>
    </xf>
    <xf numFmtId="0" fontId="10" fillId="0" borderId="0" xfId="0" applyFont="1"/>
    <xf numFmtId="166" fontId="0" fillId="0" borderId="0" xfId="0" applyNumberFormat="1"/>
    <xf numFmtId="1" fontId="4" fillId="0" borderId="0" xfId="0" applyNumberFormat="1" applyFont="1" applyFill="1" applyAlignment="1"/>
    <xf numFmtId="0" fontId="9" fillId="0" borderId="0" xfId="0" applyFont="1" applyFill="1"/>
    <xf numFmtId="0" fontId="11" fillId="0" borderId="0" xfId="0" applyFont="1"/>
    <xf numFmtId="167" fontId="6" fillId="0" borderId="5" xfId="0" applyNumberFormat="1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right"/>
    </xf>
    <xf numFmtId="166" fontId="0" fillId="2" borderId="0" xfId="0" applyNumberFormat="1" applyFill="1"/>
    <xf numFmtId="0" fontId="4" fillId="2" borderId="0" xfId="0" applyFont="1" applyFill="1"/>
    <xf numFmtId="0" fontId="0" fillId="4" borderId="0" xfId="0" applyFont="1" applyFill="1"/>
    <xf numFmtId="2" fontId="0" fillId="4" borderId="0" xfId="0" applyNumberFormat="1" applyFont="1" applyFill="1"/>
    <xf numFmtId="166" fontId="4" fillId="4" borderId="0" xfId="0" applyNumberFormat="1" applyFont="1" applyFill="1"/>
    <xf numFmtId="0" fontId="0" fillId="0" borderId="0" xfId="0" quotePrefix="1"/>
    <xf numFmtId="166" fontId="0" fillId="2" borderId="0" xfId="1" applyNumberFormat="1" applyFont="1" applyFill="1"/>
    <xf numFmtId="9" fontId="0" fillId="0" borderId="0" xfId="0" applyNumberFormat="1" applyFill="1"/>
    <xf numFmtId="0" fontId="4" fillId="5" borderId="0" xfId="0" applyFont="1" applyFill="1"/>
    <xf numFmtId="0" fontId="0" fillId="5" borderId="0" xfId="0" applyFill="1"/>
    <xf numFmtId="164" fontId="0" fillId="5" borderId="0" xfId="0" applyNumberFormat="1" applyFill="1"/>
    <xf numFmtId="0" fontId="0" fillId="0" borderId="0" xfId="0" applyFont="1"/>
    <xf numFmtId="164" fontId="0" fillId="0" borderId="0" xfId="0" applyNumberFormat="1" applyFont="1"/>
    <xf numFmtId="164" fontId="0" fillId="0" borderId="0" xfId="0" applyNumberFormat="1" applyFill="1"/>
    <xf numFmtId="2" fontId="0" fillId="2" borderId="0" xfId="0" applyNumberFormat="1" applyFill="1"/>
    <xf numFmtId="2" fontId="0" fillId="0" borderId="0" xfId="0" applyNumberFormat="1" applyFill="1"/>
    <xf numFmtId="0" fontId="0" fillId="0" borderId="0" xfId="0" applyFont="1" applyAlignment="1">
      <alignment horizontal="right"/>
    </xf>
    <xf numFmtId="0" fontId="11" fillId="0" borderId="0" xfId="0" applyFont="1" applyFill="1"/>
    <xf numFmtId="1" fontId="0" fillId="2" borderId="0" xfId="0" applyNumberFormat="1" applyFill="1"/>
    <xf numFmtId="0" fontId="0" fillId="4" borderId="8" xfId="0" applyFill="1" applyBorder="1"/>
    <xf numFmtId="0" fontId="0" fillId="4" borderId="12" xfId="0" applyFill="1" applyBorder="1"/>
    <xf numFmtId="0" fontId="0" fillId="4" borderId="12" xfId="0" applyFill="1" applyBorder="1" applyAlignment="1"/>
    <xf numFmtId="0" fontId="0" fillId="4" borderId="9" xfId="0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10" xfId="0" applyFill="1" applyBorder="1"/>
    <xf numFmtId="164" fontId="0" fillId="4" borderId="0" xfId="0" applyNumberFormat="1" applyFill="1" applyBorder="1"/>
    <xf numFmtId="0" fontId="4" fillId="4" borderId="7" xfId="0" applyFont="1" applyFill="1" applyBorder="1"/>
    <xf numFmtId="0" fontId="0" fillId="4" borderId="11" xfId="0" applyFill="1" applyBorder="1"/>
    <xf numFmtId="0" fontId="0" fillId="4" borderId="13" xfId="0" applyFill="1" applyBorder="1"/>
    <xf numFmtId="164" fontId="0" fillId="4" borderId="13" xfId="0" applyNumberFormat="1" applyFill="1" applyBorder="1"/>
    <xf numFmtId="0" fontId="0" fillId="4" borderId="5" xfId="0" applyFill="1" applyBorder="1"/>
    <xf numFmtId="1" fontId="13" fillId="0" borderId="0" xfId="0" applyNumberFormat="1" applyFont="1"/>
    <xf numFmtId="1" fontId="0" fillId="0" borderId="0" xfId="0" applyNumberFormat="1" applyFont="1"/>
    <xf numFmtId="0" fontId="12" fillId="0" borderId="0" xfId="0" applyFont="1" applyFill="1" applyAlignment="1">
      <alignment horizontal="right"/>
    </xf>
    <xf numFmtId="9" fontId="0" fillId="0" borderId="0" xfId="0" applyNumberFormat="1" applyFont="1" applyFill="1"/>
    <xf numFmtId="9" fontId="12" fillId="0" borderId="0" xfId="0" applyNumberFormat="1" applyFont="1" applyFill="1" applyAlignment="1">
      <alignment horizontal="right"/>
    </xf>
    <xf numFmtId="166" fontId="0" fillId="0" borderId="0" xfId="0" applyNumberFormat="1" applyFill="1"/>
    <xf numFmtId="166" fontId="4" fillId="0" borderId="0" xfId="0" applyNumberFormat="1" applyFont="1"/>
    <xf numFmtId="166" fontId="4" fillId="0" borderId="0" xfId="0" applyNumberFormat="1" applyFont="1" applyFill="1"/>
    <xf numFmtId="0" fontId="4" fillId="6" borderId="0" xfId="0" applyFont="1" applyFill="1"/>
    <xf numFmtId="0" fontId="14" fillId="0" borderId="0" xfId="0" applyFont="1" applyFill="1"/>
    <xf numFmtId="166" fontId="15" fillId="0" borderId="0" xfId="0" applyNumberFormat="1" applyFont="1" applyFill="1"/>
    <xf numFmtId="166" fontId="0" fillId="4" borderId="0" xfId="0" applyNumberFormat="1" applyFont="1" applyFill="1"/>
    <xf numFmtId="166" fontId="0" fillId="0" borderId="0" xfId="0" applyNumberFormat="1" applyFont="1" applyFill="1"/>
    <xf numFmtId="0" fontId="0" fillId="0" borderId="0" xfId="0" applyFont="1" applyFill="1"/>
    <xf numFmtId="9" fontId="0" fillId="0" borderId="0" xfId="1" applyFont="1" applyFill="1"/>
    <xf numFmtId="6" fontId="0" fillId="0" borderId="0" xfId="1" applyNumberFormat="1" applyFont="1" applyFill="1"/>
    <xf numFmtId="167" fontId="0" fillId="0" borderId="0" xfId="0" applyNumberFormat="1"/>
    <xf numFmtId="0" fontId="8" fillId="0" borderId="0" xfId="0" applyFont="1" applyBorder="1" applyAlignment="1">
      <alignment vertical="top" wrapText="1"/>
    </xf>
    <xf numFmtId="165" fontId="6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/>
    </xf>
    <xf numFmtId="165" fontId="4" fillId="0" borderId="0" xfId="0" applyNumberFormat="1" applyFont="1"/>
    <xf numFmtId="166" fontId="0" fillId="0" borderId="0" xfId="0" quotePrefix="1" applyNumberFormat="1" applyFill="1"/>
    <xf numFmtId="165" fontId="0" fillId="5" borderId="0" xfId="2" applyNumberFormat="1" applyFont="1" applyFill="1"/>
    <xf numFmtId="0" fontId="12" fillId="0" borderId="0" xfId="0" applyFont="1"/>
    <xf numFmtId="166" fontId="12" fillId="0" borderId="0" xfId="0" applyNumberFormat="1" applyFont="1"/>
    <xf numFmtId="165" fontId="5" fillId="0" borderId="0" xfId="2" applyNumberFormat="1" applyFont="1"/>
    <xf numFmtId="165" fontId="5" fillId="0" borderId="0" xfId="0" applyNumberFormat="1" applyFont="1"/>
    <xf numFmtId="43" fontId="5" fillId="0" borderId="5" xfId="2" applyNumberFormat="1" applyFont="1" applyBorder="1" applyAlignment="1">
      <alignment horizontal="right" vertical="top" wrapText="1"/>
    </xf>
    <xf numFmtId="43" fontId="6" fillId="0" borderId="5" xfId="2" applyNumberFormat="1" applyFont="1" applyBorder="1" applyAlignment="1">
      <alignment horizontal="right" vertical="top" wrapText="1"/>
    </xf>
    <xf numFmtId="43" fontId="5" fillId="0" borderId="5" xfId="2" applyNumberFormat="1" applyFont="1" applyFill="1" applyBorder="1" applyAlignment="1">
      <alignment horizontal="right" vertical="top" wrapText="1"/>
    </xf>
    <xf numFmtId="43" fontId="6" fillId="0" borderId="5" xfId="2" applyNumberFormat="1" applyFont="1" applyFill="1" applyBorder="1" applyAlignment="1">
      <alignment horizontal="right" vertical="top" wrapText="1"/>
    </xf>
    <xf numFmtId="43" fontId="6" fillId="0" borderId="5" xfId="0" applyNumberFormat="1" applyFont="1" applyFill="1" applyBorder="1" applyAlignment="1">
      <alignment horizontal="right" vertical="top" wrapText="1"/>
    </xf>
    <xf numFmtId="43" fontId="6" fillId="0" borderId="5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6" fontId="0" fillId="0" borderId="0" xfId="1" applyNumberFormat="1" applyFont="1" applyFill="1"/>
    <xf numFmtId="0" fontId="0" fillId="0" borderId="0" xfId="0" applyFont="1" applyAlignment="1">
      <alignment horizontal="center"/>
    </xf>
    <xf numFmtId="165" fontId="0" fillId="0" borderId="0" xfId="2" applyNumberFormat="1" applyFont="1" applyAlignment="1">
      <alignment horizontal="center"/>
    </xf>
    <xf numFmtId="168" fontId="0" fillId="0" borderId="0" xfId="2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4" fontId="4" fillId="4" borderId="0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166" fontId="0" fillId="4" borderId="0" xfId="0" applyNumberFormat="1" applyFont="1" applyFill="1" applyBorder="1"/>
    <xf numFmtId="0" fontId="0" fillId="4" borderId="0" xfId="0" applyFont="1" applyFill="1" applyBorder="1"/>
    <xf numFmtId="165" fontId="1" fillId="4" borderId="0" xfId="2" applyNumberFormat="1" applyFont="1" applyFill="1" applyBorder="1"/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9" fontId="4" fillId="0" borderId="0" xfId="0" applyNumberFormat="1" applyFont="1" applyFill="1" applyAlignment="1">
      <alignment horizontal="center"/>
    </xf>
    <xf numFmtId="9" fontId="11" fillId="0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6" fontId="4" fillId="4" borderId="0" xfId="0" applyNumberFormat="1" applyFont="1" applyFill="1" applyAlignment="1">
      <alignment horizontal="center"/>
    </xf>
    <xf numFmtId="2" fontId="0" fillId="0" borderId="0" xfId="0" applyNumberFormat="1" applyFont="1" applyFill="1"/>
    <xf numFmtId="166" fontId="4" fillId="0" borderId="0" xfId="0" applyNumberFormat="1" applyFont="1" applyFill="1" applyAlignment="1">
      <alignment horizontal="right"/>
    </xf>
    <xf numFmtId="1" fontId="0" fillId="5" borderId="0" xfId="0" applyNumberFormat="1" applyFill="1"/>
    <xf numFmtId="0" fontId="4" fillId="5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66" fontId="0" fillId="5" borderId="0" xfId="0" applyNumberFormat="1" applyFill="1" applyAlignment="1">
      <alignment horizontal="center"/>
    </xf>
    <xf numFmtId="166" fontId="4" fillId="5" borderId="0" xfId="0" applyNumberFormat="1" applyFont="1" applyFill="1"/>
    <xf numFmtId="0" fontId="0" fillId="4" borderId="0" xfId="0" applyFill="1" applyAlignment="1">
      <alignment horizontal="center"/>
    </xf>
    <xf numFmtId="165" fontId="0" fillId="4" borderId="0" xfId="2" applyNumberFormat="1" applyFont="1" applyFill="1"/>
    <xf numFmtId="0" fontId="6" fillId="0" borderId="6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3" borderId="6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164" fontId="4" fillId="0" borderId="0" xfId="0" applyNumberFormat="1" applyFont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166" fontId="4" fillId="4" borderId="0" xfId="0" applyNumberFormat="1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zoomScale="60" zoomScaleNormal="100" workbookViewId="0">
      <selection activeCell="A5" sqref="A5"/>
    </sheetView>
  </sheetViews>
  <sheetFormatPr defaultRowHeight="14.25" x14ac:dyDescent="0.2"/>
  <cols>
    <col min="1" max="1" width="27.28515625" style="10" customWidth="1"/>
    <col min="2" max="7" width="19.85546875" style="10" customWidth="1"/>
    <col min="8" max="8" width="9.85546875" style="10" bestFit="1" customWidth="1"/>
    <col min="9" max="16384" width="9.140625" style="10"/>
  </cols>
  <sheetData>
    <row r="1" spans="1:7" ht="15.75" thickBot="1" x14ac:dyDescent="0.3">
      <c r="A1" s="17" t="s">
        <v>180</v>
      </c>
    </row>
    <row r="2" spans="1:7" ht="15.75" thickBot="1" x14ac:dyDescent="0.3">
      <c r="A2" s="11"/>
      <c r="B2" s="134" t="s">
        <v>7</v>
      </c>
      <c r="C2" s="135"/>
      <c r="D2" s="136"/>
    </row>
    <row r="3" spans="1:7" ht="15.75" thickBot="1" x14ac:dyDescent="0.3">
      <c r="A3" s="12"/>
      <c r="B3" s="13" t="s">
        <v>14</v>
      </c>
      <c r="C3" s="13" t="s">
        <v>8</v>
      </c>
      <c r="D3" s="13" t="s">
        <v>9</v>
      </c>
      <c r="G3" s="9"/>
    </row>
    <row r="4" spans="1:7" ht="15.75" thickBot="1" x14ac:dyDescent="0.25">
      <c r="A4" s="137" t="s">
        <v>50</v>
      </c>
      <c r="B4" s="138"/>
      <c r="C4" s="138"/>
      <c r="D4" s="139"/>
    </row>
    <row r="5" spans="1:7" ht="57.75" thickBot="1" x14ac:dyDescent="0.25">
      <c r="A5" s="14" t="s">
        <v>170</v>
      </c>
      <c r="B5" s="97">
        <f>Costs_general!E22</f>
        <v>82.350000000000009</v>
      </c>
      <c r="C5" s="97">
        <f>Costs_general!F22</f>
        <v>82.350000000000009</v>
      </c>
      <c r="D5" s="97">
        <f>Costs_general!G22</f>
        <v>82.350000000000009</v>
      </c>
    </row>
    <row r="6" spans="1:7" ht="43.5" thickBot="1" x14ac:dyDescent="0.25">
      <c r="A6" s="14" t="s">
        <v>171</v>
      </c>
      <c r="B6" s="97">
        <f>Costs_general!E23</f>
        <v>10.26</v>
      </c>
      <c r="C6" s="97">
        <f>Costs_general!F23</f>
        <v>10.26</v>
      </c>
      <c r="D6" s="97">
        <f>Costs_general!G23</f>
        <v>10.26</v>
      </c>
    </row>
    <row r="7" spans="1:7" ht="43.5" customHeight="1" thickBot="1" x14ac:dyDescent="0.25">
      <c r="A7" s="14" t="s">
        <v>172</v>
      </c>
      <c r="B7" s="97">
        <f>Costs_general!E24</f>
        <v>40</v>
      </c>
      <c r="C7" s="97">
        <f>Costs_general!F24</f>
        <v>40</v>
      </c>
      <c r="D7" s="97">
        <f>Costs_general!G24</f>
        <v>40</v>
      </c>
    </row>
    <row r="8" spans="1:7" ht="29.25" thickBot="1" x14ac:dyDescent="0.25">
      <c r="A8" s="14" t="s">
        <v>173</v>
      </c>
      <c r="B8" s="97">
        <f>Costs_general!E25</f>
        <v>10</v>
      </c>
      <c r="C8" s="97">
        <f>Costs_general!F25</f>
        <v>10</v>
      </c>
      <c r="D8" s="97">
        <f>Costs_general!G25</f>
        <v>10</v>
      </c>
    </row>
    <row r="9" spans="1:7" ht="29.25" thickBot="1" x14ac:dyDescent="0.25">
      <c r="A9" s="14" t="s">
        <v>16</v>
      </c>
      <c r="B9" s="97">
        <f>Costs_general!E28</f>
        <v>0.875</v>
      </c>
      <c r="C9" s="97">
        <f>Costs_general!F28</f>
        <v>0.875</v>
      </c>
      <c r="D9" s="97">
        <f>Costs_general!G28</f>
        <v>0.875</v>
      </c>
    </row>
    <row r="10" spans="1:7" ht="29.25" thickBot="1" x14ac:dyDescent="0.25">
      <c r="A10" s="15" t="s">
        <v>123</v>
      </c>
      <c r="B10" s="98">
        <f>SUM(B5:B9)</f>
        <v>143.48500000000001</v>
      </c>
      <c r="C10" s="98">
        <f>SUM(C5:C9)</f>
        <v>143.48500000000001</v>
      </c>
      <c r="D10" s="98">
        <f>SUM(D5:D9)</f>
        <v>143.48500000000001</v>
      </c>
    </row>
    <row r="11" spans="1:7" ht="32.25" customHeight="1" thickBot="1" x14ac:dyDescent="0.25">
      <c r="A11" s="137" t="s">
        <v>84</v>
      </c>
      <c r="B11" s="138"/>
      <c r="C11" s="138"/>
      <c r="D11" s="139"/>
    </row>
    <row r="12" spans="1:7" ht="29.25" thickBot="1" x14ac:dyDescent="0.25">
      <c r="A12" s="14" t="s">
        <v>174</v>
      </c>
      <c r="B12" s="99">
        <f>Costs_general!E43</f>
        <v>3.3194767891725405</v>
      </c>
      <c r="C12" s="99">
        <f>Costs_general!F43</f>
        <v>5.5786569148269258</v>
      </c>
      <c r="D12" s="99">
        <f>Costs_general!G43</f>
        <v>8.1626544700333508</v>
      </c>
    </row>
    <row r="13" spans="1:7" ht="29.25" thickBot="1" x14ac:dyDescent="0.25">
      <c r="A13" s="14" t="s">
        <v>175</v>
      </c>
      <c r="B13" s="99">
        <f>Costs_general!E44</f>
        <v>5.3111628626760652</v>
      </c>
      <c r="C13" s="99">
        <f>Costs_general!F44</f>
        <v>8.9258510637230799</v>
      </c>
      <c r="D13" s="99">
        <f>Costs_general!G44</f>
        <v>13.060247152053361</v>
      </c>
    </row>
    <row r="14" spans="1:7" ht="43.5" thickBot="1" x14ac:dyDescent="0.25">
      <c r="A14" s="14" t="s">
        <v>176</v>
      </c>
      <c r="B14" s="99">
        <f>Costs_general!E48</f>
        <v>3.6306777381574662</v>
      </c>
      <c r="C14" s="99">
        <f>Costs_general!F48</f>
        <v>6.1016560005919498</v>
      </c>
      <c r="D14" s="99">
        <f>Costs_general!G48</f>
        <v>8.927903326598976</v>
      </c>
    </row>
    <row r="15" spans="1:7" ht="29.25" thickBot="1" x14ac:dyDescent="0.25">
      <c r="A15" s="14" t="s">
        <v>177</v>
      </c>
      <c r="B15" s="99">
        <f>Costs_general!E52</f>
        <v>29.04542190525973</v>
      </c>
      <c r="C15" s="99">
        <f>Costs_general!F52</f>
        <v>48.813248004735598</v>
      </c>
      <c r="D15" s="99">
        <f>Costs_general!G52</f>
        <v>71.423226612791808</v>
      </c>
    </row>
    <row r="16" spans="1:7" ht="29.25" thickBot="1" x14ac:dyDescent="0.25">
      <c r="A16" s="14" t="s">
        <v>154</v>
      </c>
      <c r="B16" s="97">
        <f>'Costs_additional audits'!E29</f>
        <v>24.896075918794054</v>
      </c>
      <c r="C16" s="97">
        <f>'Costs_additional audits'!F29</f>
        <v>41.839926861201938</v>
      </c>
      <c r="D16" s="97">
        <f>'Costs_additional audits'!G29</f>
        <v>61.219908525250119</v>
      </c>
    </row>
    <row r="17" spans="1:4" ht="29.25" thickBot="1" x14ac:dyDescent="0.25">
      <c r="A17" s="14" t="s">
        <v>155</v>
      </c>
      <c r="B17" s="97">
        <f>'Costs_additional audits'!E28</f>
        <v>35.921317447521616</v>
      </c>
      <c r="C17" s="97">
        <f>'Costs_additional audits'!F28</f>
        <v>60.368762517620205</v>
      </c>
      <c r="D17" s="97">
        <f>'Costs_additional audits'!G28</f>
        <v>88.33118019951263</v>
      </c>
    </row>
    <row r="18" spans="1:4" ht="15.75" thickBot="1" x14ac:dyDescent="0.25">
      <c r="A18" s="15" t="s">
        <v>124</v>
      </c>
      <c r="B18" s="100">
        <f>SUM(B12:B17)</f>
        <v>102.12413266158147</v>
      </c>
      <c r="C18" s="100">
        <f t="shared" ref="C18:D18" si="0">SUM(C12:C17)</f>
        <v>171.62810136269971</v>
      </c>
      <c r="D18" s="100">
        <f t="shared" si="0"/>
        <v>251.12512028624025</v>
      </c>
    </row>
    <row r="19" spans="1:4" ht="15.75" thickBot="1" x14ac:dyDescent="0.25">
      <c r="A19" s="15" t="s">
        <v>10</v>
      </c>
      <c r="B19" s="101">
        <f>SUM(B10,B18)</f>
        <v>245.6091326615815</v>
      </c>
      <c r="C19" s="101">
        <f t="shared" ref="C19:D19" si="1">SUM(C10,C18)</f>
        <v>315.11310136269969</v>
      </c>
      <c r="D19" s="101">
        <f t="shared" si="1"/>
        <v>394.61012028624026</v>
      </c>
    </row>
    <row r="20" spans="1:4" ht="15" x14ac:dyDescent="0.25">
      <c r="A20" s="9"/>
    </row>
    <row r="21" spans="1:4" ht="15.75" thickBot="1" x14ac:dyDescent="0.3">
      <c r="A21" s="17" t="s">
        <v>181</v>
      </c>
    </row>
    <row r="22" spans="1:4" ht="15.75" thickBot="1" x14ac:dyDescent="0.3">
      <c r="A22" s="11"/>
      <c r="B22" s="134" t="s">
        <v>7</v>
      </c>
      <c r="C22" s="135"/>
      <c r="D22" s="136"/>
    </row>
    <row r="23" spans="1:4" ht="15.75" thickBot="1" x14ac:dyDescent="0.25">
      <c r="A23" s="12"/>
      <c r="B23" s="13" t="s">
        <v>14</v>
      </c>
      <c r="C23" s="13" t="s">
        <v>8</v>
      </c>
      <c r="D23" s="13" t="s">
        <v>9</v>
      </c>
    </row>
    <row r="24" spans="1:4" ht="45.75" customHeight="1" thickBot="1" x14ac:dyDescent="0.25">
      <c r="A24" s="14" t="s">
        <v>186</v>
      </c>
      <c r="B24" s="97">
        <f>'Benefits_freq chng_ex DUML'!B119</f>
        <v>1225.3031163591577</v>
      </c>
      <c r="C24" s="97">
        <f>'Benefits_freq chng_ex DUML'!C119</f>
        <v>2316.7751490817604</v>
      </c>
      <c r="D24" s="97">
        <f>'Benefits_freq chng_ex DUML'!D119</f>
        <v>3565.1754125687003</v>
      </c>
    </row>
    <row r="25" spans="1:4" ht="29.25" thickBot="1" x14ac:dyDescent="0.25">
      <c r="A25" s="14" t="s">
        <v>187</v>
      </c>
      <c r="B25" s="99">
        <f>'Benefits_freq chng_DUML'!B41</f>
        <v>106.79073217399446</v>
      </c>
      <c r="C25" s="99">
        <f>'Benefits_freq chng_DUML'!C41</f>
        <v>267.60383921615909</v>
      </c>
      <c r="D25" s="99">
        <f>'Benefits_freq chng_DUML'!D41</f>
        <v>451.53812171244249</v>
      </c>
    </row>
    <row r="26" spans="1:4" ht="29.25" thickBot="1" x14ac:dyDescent="0.25">
      <c r="A26" s="15" t="s">
        <v>85</v>
      </c>
      <c r="B26" s="102">
        <f>SUM(B24:B25)</f>
        <v>1332.0938485331521</v>
      </c>
      <c r="C26" s="102">
        <f>SUM(C24:C25)</f>
        <v>2584.3789882979195</v>
      </c>
      <c r="D26" s="102">
        <f>SUM(D24:D25)</f>
        <v>4016.7135342811425</v>
      </c>
    </row>
    <row r="27" spans="1:4" ht="15" x14ac:dyDescent="0.25">
      <c r="A27" s="9"/>
    </row>
    <row r="28" spans="1:4" ht="15.75" thickBot="1" x14ac:dyDescent="0.3">
      <c r="A28" s="17" t="s">
        <v>185</v>
      </c>
    </row>
    <row r="29" spans="1:4" ht="15.75" thickBot="1" x14ac:dyDescent="0.3">
      <c r="A29" s="11"/>
      <c r="B29" s="134" t="s">
        <v>7</v>
      </c>
      <c r="C29" s="135"/>
      <c r="D29" s="136"/>
    </row>
    <row r="30" spans="1:4" ht="15.75" thickBot="1" x14ac:dyDescent="0.25">
      <c r="A30" s="12"/>
      <c r="B30" s="13" t="s">
        <v>14</v>
      </c>
      <c r="C30" s="13" t="s">
        <v>8</v>
      </c>
      <c r="D30" s="13" t="s">
        <v>9</v>
      </c>
    </row>
    <row r="31" spans="1:4" ht="29.25" thickBot="1" x14ac:dyDescent="0.25">
      <c r="A31" s="14" t="s">
        <v>182</v>
      </c>
      <c r="B31" s="97">
        <f>'Benefits_chngs in hrs per audit'!B129/1000</f>
        <v>104.07493688259181</v>
      </c>
      <c r="C31" s="97">
        <f>'Benefits_chngs in hrs per audit'!C129/1000</f>
        <v>169.99177878490926</v>
      </c>
      <c r="D31" s="97">
        <f>'Benefits_chngs in hrs per audit'!D129/1000</f>
        <v>245.38592570941799</v>
      </c>
    </row>
    <row r="32" spans="1:4" ht="29.25" thickBot="1" x14ac:dyDescent="0.25">
      <c r="A32" s="14" t="s">
        <v>183</v>
      </c>
      <c r="B32" s="97">
        <f>'Benefits_chngs in hrs per audit'!B136/1000</f>
        <v>286.37775985095431</v>
      </c>
      <c r="C32" s="97">
        <f>'Benefits_chngs in hrs per audit'!C136/1000</f>
        <v>465.60470646471515</v>
      </c>
      <c r="D32" s="97">
        <f>'Benefits_chngs in hrs per audit'!D136/1000</f>
        <v>670.60030934650172</v>
      </c>
    </row>
    <row r="33" spans="1:8" ht="43.5" thickBot="1" x14ac:dyDescent="0.25">
      <c r="A33" s="15" t="s">
        <v>184</v>
      </c>
      <c r="B33" s="102">
        <f>B32-B31</f>
        <v>182.30282296836248</v>
      </c>
      <c r="C33" s="102">
        <f>C32-C31</f>
        <v>295.61292767980592</v>
      </c>
      <c r="D33" s="102">
        <f>D32-D31</f>
        <v>425.21438363708376</v>
      </c>
    </row>
    <row r="34" spans="1:8" ht="15" x14ac:dyDescent="0.25">
      <c r="A34" s="9"/>
    </row>
    <row r="35" spans="1:8" ht="15.75" thickBot="1" x14ac:dyDescent="0.3">
      <c r="A35" s="17" t="s">
        <v>188</v>
      </c>
    </row>
    <row r="36" spans="1:8" ht="15.75" thickBot="1" x14ac:dyDescent="0.3">
      <c r="A36" s="11"/>
      <c r="B36" s="134" t="s">
        <v>7</v>
      </c>
      <c r="C36" s="135"/>
      <c r="D36" s="136"/>
      <c r="G36" s="95"/>
    </row>
    <row r="37" spans="1:8" ht="15.75" thickBot="1" x14ac:dyDescent="0.25">
      <c r="A37" s="12"/>
      <c r="B37" s="13" t="s">
        <v>14</v>
      </c>
      <c r="C37" s="13" t="s">
        <v>8</v>
      </c>
      <c r="D37" s="13" t="s">
        <v>9</v>
      </c>
      <c r="G37" s="95"/>
      <c r="H37" s="96"/>
    </row>
    <row r="38" spans="1:8" ht="29.25" thickBot="1" x14ac:dyDescent="0.25">
      <c r="A38" s="14" t="s">
        <v>141</v>
      </c>
      <c r="B38" s="97">
        <f>'Benefits_exemption rqst reduct'!B20/1000</f>
        <v>23.900232882042292</v>
      </c>
      <c r="C38" s="97">
        <f>'Benefits_exemption rqst reduct'!C20/1000</f>
        <v>40.166329786753863</v>
      </c>
      <c r="D38" s="97">
        <f>'Benefits_exemption rqst reduct'!D20/1000</f>
        <v>58.771112184240117</v>
      </c>
      <c r="G38" s="95"/>
    </row>
    <row r="39" spans="1:8" ht="15" x14ac:dyDescent="0.2">
      <c r="A39" s="87"/>
      <c r="B39" s="88"/>
      <c r="C39" s="88"/>
      <c r="D39" s="88"/>
      <c r="G39" s="95"/>
    </row>
    <row r="40" spans="1:8" ht="15.75" thickBot="1" x14ac:dyDescent="0.3">
      <c r="A40" s="17" t="s">
        <v>189</v>
      </c>
    </row>
    <row r="41" spans="1:8" ht="15.75" thickBot="1" x14ac:dyDescent="0.3">
      <c r="A41" s="11"/>
      <c r="B41" s="134" t="s">
        <v>7</v>
      </c>
      <c r="C41" s="135"/>
      <c r="D41" s="136"/>
    </row>
    <row r="42" spans="1:8" ht="15.75" thickBot="1" x14ac:dyDescent="0.25">
      <c r="A42" s="12"/>
      <c r="B42" s="13" t="s">
        <v>14</v>
      </c>
      <c r="C42" s="13" t="s">
        <v>8</v>
      </c>
      <c r="D42" s="13" t="s">
        <v>9</v>
      </c>
      <c r="G42" s="96"/>
    </row>
    <row r="43" spans="1:8" ht="15" thickBot="1" x14ac:dyDescent="0.25">
      <c r="A43" s="14" t="s">
        <v>52</v>
      </c>
      <c r="B43" s="16">
        <f>B19</f>
        <v>245.6091326615815</v>
      </c>
      <c r="C43" s="16">
        <f>C19</f>
        <v>315.11310136269969</v>
      </c>
      <c r="D43" s="16">
        <f>D19</f>
        <v>394.61012028624026</v>
      </c>
    </row>
    <row r="44" spans="1:8" ht="15" thickBot="1" x14ac:dyDescent="0.25">
      <c r="A44" s="14" t="s">
        <v>158</v>
      </c>
      <c r="B44" s="16">
        <f>B26+B33+B38</f>
        <v>1538.2969043835569</v>
      </c>
      <c r="C44" s="16">
        <f>C26+C33+C38</f>
        <v>2920.1582457644795</v>
      </c>
      <c r="D44" s="16">
        <f>D26+D33+D38</f>
        <v>4500.6990301024671</v>
      </c>
    </row>
    <row r="45" spans="1:8" ht="29.25" thickBot="1" x14ac:dyDescent="0.25">
      <c r="A45" s="15" t="s">
        <v>179</v>
      </c>
      <c r="B45" s="35">
        <f>B44-B43</f>
        <v>1292.6877717219754</v>
      </c>
      <c r="C45" s="35">
        <f t="shared" ref="C45:D45" si="2">C44-C43</f>
        <v>2605.0451444017799</v>
      </c>
      <c r="D45" s="35">
        <f t="shared" si="2"/>
        <v>4106.088909816227</v>
      </c>
    </row>
    <row r="46" spans="1:8" ht="15" x14ac:dyDescent="0.25">
      <c r="A46" s="9"/>
    </row>
    <row r="47" spans="1:8" ht="15" x14ac:dyDescent="0.25">
      <c r="A47" s="9"/>
    </row>
    <row r="48" spans="1:8" ht="15" x14ac:dyDescent="0.25">
      <c r="A48" s="9"/>
    </row>
    <row r="49" spans="1:1" ht="15" x14ac:dyDescent="0.25">
      <c r="A49" s="9"/>
    </row>
  </sheetData>
  <mergeCells count="7">
    <mergeCell ref="B2:D2"/>
    <mergeCell ref="A4:D4"/>
    <mergeCell ref="A11:D11"/>
    <mergeCell ref="B22:D22"/>
    <mergeCell ref="B41:D41"/>
    <mergeCell ref="B36:D36"/>
    <mergeCell ref="B29:D29"/>
  </mergeCells>
  <pageMargins left="0.7" right="0.7" top="0.75" bottom="0.75" header="0.3" footer="0.3"/>
  <pageSetup paperSize="9" scale="8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I33"/>
  <sheetViews>
    <sheetView view="pageBreakPreview" zoomScale="60" zoomScaleNormal="100" workbookViewId="0">
      <selection activeCell="H21" sqref="H21"/>
    </sheetView>
  </sheetViews>
  <sheetFormatPr defaultRowHeight="15" x14ac:dyDescent="0.25"/>
  <cols>
    <col min="1" max="1" width="12.7109375" customWidth="1"/>
  </cols>
  <sheetData>
    <row r="3" spans="1:35" x14ac:dyDescent="0.25">
      <c r="A3" t="s">
        <v>1</v>
      </c>
      <c r="B3" t="s">
        <v>2</v>
      </c>
      <c r="C3" t="s">
        <v>3</v>
      </c>
      <c r="E3" t="s">
        <v>1</v>
      </c>
      <c r="F3">
        <v>1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>
        <v>10</v>
      </c>
      <c r="P3">
        <v>11</v>
      </c>
      <c r="Q3">
        <v>12</v>
      </c>
      <c r="R3">
        <v>13</v>
      </c>
      <c r="S3">
        <v>14</v>
      </c>
      <c r="T3">
        <v>15</v>
      </c>
      <c r="U3">
        <v>16</v>
      </c>
      <c r="V3">
        <v>17</v>
      </c>
      <c r="W3">
        <v>18</v>
      </c>
      <c r="X3">
        <v>19</v>
      </c>
      <c r="Y3">
        <v>20</v>
      </c>
      <c r="Z3">
        <v>21</v>
      </c>
      <c r="AA3">
        <v>22</v>
      </c>
      <c r="AB3">
        <v>23</v>
      </c>
      <c r="AC3">
        <v>24</v>
      </c>
      <c r="AD3">
        <v>25</v>
      </c>
      <c r="AE3">
        <v>26</v>
      </c>
      <c r="AF3">
        <v>27</v>
      </c>
      <c r="AG3">
        <v>28</v>
      </c>
      <c r="AH3">
        <v>29</v>
      </c>
      <c r="AI3">
        <v>30</v>
      </c>
    </row>
    <row r="4" spans="1:35" x14ac:dyDescent="0.25">
      <c r="A4">
        <v>1</v>
      </c>
      <c r="B4">
        <f>1/(1+Costs_general!$D$4)^(A4-0.5)</f>
        <v>0.96225044864937614</v>
      </c>
      <c r="C4">
        <f>+B4</f>
        <v>0.96225044864937614</v>
      </c>
      <c r="E4" t="s">
        <v>2</v>
      </c>
      <c r="F4">
        <f>1/(1+Costs_general!$D$4)^(F3-0.5)</f>
        <v>0.96225044864937614</v>
      </c>
      <c r="G4">
        <f>1/(1+Costs_general!$D$4)^(G3-0.5)</f>
        <v>0.89097263763831136</v>
      </c>
      <c r="H4">
        <f>1/(1+Costs_general!$D$4)^(H3-0.5)</f>
        <v>0.82497466447991774</v>
      </c>
      <c r="I4">
        <f>1/(1+Costs_general!$D$4)^(I3-0.5)</f>
        <v>0.76386543007399788</v>
      </c>
      <c r="J4">
        <f>1/(1+Costs_general!$D$4)^(J3-0.5)</f>
        <v>0.70728280562407209</v>
      </c>
      <c r="K4">
        <f>1/(1+Costs_general!$D$4)^(K3-0.5)</f>
        <v>0.65489148668895558</v>
      </c>
      <c r="L4">
        <f>1/(1+Costs_general!$D$4)^(L3-0.5)</f>
        <v>0.60638100619347735</v>
      </c>
      <c r="M4">
        <f>1/(1+Costs_general!$D$4)^(M3-0.5)</f>
        <v>0.56146389462359003</v>
      </c>
      <c r="N4">
        <f>1/(1+Costs_general!$D$4)^(N3-0.5)</f>
        <v>0.51987397650332412</v>
      </c>
      <c r="O4">
        <f>1/(1+Costs_general!$D$4)^(O3-0.5)</f>
        <v>0.48136479305863344</v>
      </c>
      <c r="P4">
        <f>1/(1+Costs_general!$D$4)^(P3-0.5)</f>
        <v>0.44570814172095685</v>
      </c>
      <c r="Q4">
        <f>1/(1+Costs_general!$D$4)^(Q3-0.5)</f>
        <v>0.41269272381570077</v>
      </c>
      <c r="R4">
        <f>1/(1+Costs_general!$D$4)^(R3-0.5)</f>
        <v>0.38212289242194514</v>
      </c>
      <c r="S4">
        <f>1/(1+Costs_general!$D$4)^(S3-0.5)</f>
        <v>0.35381749298328247</v>
      </c>
      <c r="T4">
        <f>1/(1+Costs_general!$D$4)^(T3-0.5)</f>
        <v>0.32760878979933561</v>
      </c>
      <c r="U4">
        <f>1/(1+Costs_general!$D$4)^(U3-0.5)</f>
        <v>0.30334147203642187</v>
      </c>
      <c r="V4">
        <f>1/(1+Costs_general!$D$4)^(V3-0.5)</f>
        <v>0.28087173336705723</v>
      </c>
      <c r="W4">
        <f>1/(1+Costs_general!$D$4)^(W3-0.5)</f>
        <v>0.26006641978431222</v>
      </c>
      <c r="X4">
        <f>1/(1+Costs_general!$D$4)^(X3-0.5)</f>
        <v>0.24080224054102983</v>
      </c>
      <c r="Y4">
        <f>1/(1+Costs_general!$D$4)^(Y3-0.5)</f>
        <v>0.2229650375379906</v>
      </c>
      <c r="Z4">
        <f>1/(1+Costs_general!$D$4)^(Z3-0.5)</f>
        <v>0.20644910883147274</v>
      </c>
      <c r="AA4">
        <f>1/(1+Costs_general!$D$4)^(AA3-0.5)</f>
        <v>0.19115658225136364</v>
      </c>
      <c r="AB4">
        <f>1/(1+Costs_general!$D$4)^(AB3-0.5)</f>
        <v>0.17699683541792929</v>
      </c>
      <c r="AC4">
        <f>1/(1+Costs_general!$D$4)^(AC3-0.5)</f>
        <v>0.1638859587203049</v>
      </c>
      <c r="AD4">
        <f>1/(1+Costs_general!$D$4)^(AD3-0.5)</f>
        <v>0.15174625807435635</v>
      </c>
      <c r="AE4">
        <f>1/(1+Costs_general!$D$4)^(AE3-0.5)</f>
        <v>0.1405057945132929</v>
      </c>
      <c r="AF4">
        <f>1/(1+Costs_general!$D$4)^(AF3-0.5)</f>
        <v>0.13009795788267858</v>
      </c>
      <c r="AG4">
        <f>1/(1+Costs_general!$D$4)^(AG3-0.5)</f>
        <v>0.12046107211359131</v>
      </c>
      <c r="AH4">
        <f>1/(1+Costs_general!$D$4)^(AH3-0.5)</f>
        <v>0.11153802973480675</v>
      </c>
      <c r="AI4">
        <f>1/(1+Costs_general!$D$4)^(AI3-0.5)</f>
        <v>0.10327595345815441</v>
      </c>
    </row>
    <row r="5" spans="1:35" x14ac:dyDescent="0.25">
      <c r="A5">
        <v>2</v>
      </c>
      <c r="B5">
        <f>1/(1+Costs_general!$D$4)^(A5-0.5)</f>
        <v>0.89097263763831136</v>
      </c>
      <c r="C5">
        <f t="shared" ref="C5:C33" si="0">+C4+B5</f>
        <v>1.8532230862876875</v>
      </c>
    </row>
    <row r="6" spans="1:35" x14ac:dyDescent="0.25">
      <c r="A6">
        <v>3</v>
      </c>
      <c r="B6">
        <f>1/(1+Costs_general!$D$4)^(A6-0.5)</f>
        <v>0.82497466447991774</v>
      </c>
      <c r="C6">
        <f t="shared" si="0"/>
        <v>2.6781977507676054</v>
      </c>
    </row>
    <row r="7" spans="1:35" x14ac:dyDescent="0.25">
      <c r="A7">
        <v>4</v>
      </c>
      <c r="B7">
        <f>1/(1+Costs_general!$D$4)^(A7-0.5)</f>
        <v>0.76386543007399788</v>
      </c>
      <c r="C7">
        <f t="shared" si="0"/>
        <v>3.4420631808416031</v>
      </c>
    </row>
    <row r="8" spans="1:35" x14ac:dyDescent="0.25">
      <c r="A8">
        <v>5</v>
      </c>
      <c r="B8">
        <f>1/(1+Costs_general!$D$4)^(A8-0.5)</f>
        <v>0.70728280562407209</v>
      </c>
      <c r="C8" s="2">
        <f t="shared" si="0"/>
        <v>4.1493459864656757</v>
      </c>
    </row>
    <row r="9" spans="1:35" x14ac:dyDescent="0.25">
      <c r="A9">
        <v>6</v>
      </c>
      <c r="B9">
        <f>1/(1+Costs_general!$D$4)^(A9-0.5)</f>
        <v>0.65489148668895558</v>
      </c>
      <c r="C9">
        <f t="shared" si="0"/>
        <v>4.8042374731546316</v>
      </c>
    </row>
    <row r="10" spans="1:35" x14ac:dyDescent="0.25">
      <c r="A10">
        <v>7</v>
      </c>
      <c r="B10">
        <f>1/(1+Costs_general!$D$4)^(A10-0.5)</f>
        <v>0.60638100619347735</v>
      </c>
      <c r="C10">
        <f t="shared" si="0"/>
        <v>5.4106184793481091</v>
      </c>
    </row>
    <row r="11" spans="1:35" x14ac:dyDescent="0.25">
      <c r="A11">
        <v>8</v>
      </c>
      <c r="B11">
        <f>1/(1+Costs_general!$D$4)^(A11-0.5)</f>
        <v>0.56146389462359003</v>
      </c>
      <c r="C11">
        <f t="shared" si="0"/>
        <v>5.9720823739716993</v>
      </c>
    </row>
    <row r="12" spans="1:35" x14ac:dyDescent="0.25">
      <c r="A12">
        <v>9</v>
      </c>
      <c r="B12">
        <f>1/(1+Costs_general!$D$4)^(A12-0.5)</f>
        <v>0.51987397650332412</v>
      </c>
      <c r="C12">
        <f t="shared" si="0"/>
        <v>6.4919563504750233</v>
      </c>
    </row>
    <row r="13" spans="1:35" x14ac:dyDescent="0.25">
      <c r="A13">
        <v>10</v>
      </c>
      <c r="B13">
        <f>1/(1+Costs_general!$D$4)^(A13-0.5)</f>
        <v>0.48136479305863344</v>
      </c>
      <c r="C13" s="2">
        <f t="shared" si="0"/>
        <v>6.9733211435336564</v>
      </c>
    </row>
    <row r="14" spans="1:35" x14ac:dyDescent="0.25">
      <c r="A14">
        <v>11</v>
      </c>
      <c r="B14">
        <f>1/(1+Costs_general!$D$4)^(A14-0.5)</f>
        <v>0.44570814172095685</v>
      </c>
      <c r="C14">
        <f t="shared" si="0"/>
        <v>7.4190292852546129</v>
      </c>
    </row>
    <row r="15" spans="1:35" x14ac:dyDescent="0.25">
      <c r="A15">
        <v>12</v>
      </c>
      <c r="B15">
        <f>1/(1+Costs_general!$D$4)^(A15-0.5)</f>
        <v>0.41269272381570077</v>
      </c>
      <c r="C15">
        <f t="shared" si="0"/>
        <v>7.8317220090703135</v>
      </c>
    </row>
    <row r="16" spans="1:35" x14ac:dyDescent="0.25">
      <c r="A16">
        <v>13</v>
      </c>
      <c r="B16">
        <f>1/(1+Costs_general!$D$4)^(A16-0.5)</f>
        <v>0.38212289242194514</v>
      </c>
      <c r="C16">
        <f t="shared" si="0"/>
        <v>8.2138449014922585</v>
      </c>
    </row>
    <row r="17" spans="1:3" x14ac:dyDescent="0.25">
      <c r="A17">
        <v>14</v>
      </c>
      <c r="B17">
        <f>1/(1+Costs_general!$D$4)^(A17-0.5)</f>
        <v>0.35381749298328247</v>
      </c>
      <c r="C17">
        <f t="shared" si="0"/>
        <v>8.5676623944755406</v>
      </c>
    </row>
    <row r="18" spans="1:3" x14ac:dyDescent="0.25">
      <c r="A18">
        <v>15</v>
      </c>
      <c r="B18">
        <f>1/(1+Costs_general!$D$4)^(A18-0.5)</f>
        <v>0.32760878979933561</v>
      </c>
      <c r="C18">
        <f t="shared" si="0"/>
        <v>8.8952711842748755</v>
      </c>
    </row>
    <row r="19" spans="1:3" x14ac:dyDescent="0.25">
      <c r="A19">
        <v>16</v>
      </c>
      <c r="B19">
        <f>1/(1+Costs_general!$D$4)^(A19-0.5)</f>
        <v>0.30334147203642187</v>
      </c>
      <c r="C19">
        <f t="shared" si="0"/>
        <v>9.1986126563112975</v>
      </c>
    </row>
    <row r="20" spans="1:3" x14ac:dyDescent="0.25">
      <c r="A20">
        <v>17</v>
      </c>
      <c r="B20">
        <f>1/(1+Costs_general!$D$4)^(A20-0.5)</f>
        <v>0.28087173336705723</v>
      </c>
      <c r="C20">
        <f t="shared" si="0"/>
        <v>9.4794843896783547</v>
      </c>
    </row>
    <row r="21" spans="1:3" x14ac:dyDescent="0.25">
      <c r="A21">
        <v>18</v>
      </c>
      <c r="B21">
        <f>1/(1+Costs_general!$D$4)^(A21-0.5)</f>
        <v>0.26006641978431222</v>
      </c>
      <c r="C21">
        <f t="shared" si="0"/>
        <v>9.739550809462667</v>
      </c>
    </row>
    <row r="22" spans="1:3" x14ac:dyDescent="0.25">
      <c r="A22">
        <v>19</v>
      </c>
      <c r="B22">
        <f>1/(1+Costs_general!$D$4)^(A22-0.5)</f>
        <v>0.24080224054102983</v>
      </c>
      <c r="C22">
        <f t="shared" si="0"/>
        <v>9.9803530500036963</v>
      </c>
    </row>
    <row r="23" spans="1:3" x14ac:dyDescent="0.25">
      <c r="A23">
        <v>20</v>
      </c>
      <c r="B23">
        <f>1/(1+Costs_general!$D$4)^(A23-0.5)</f>
        <v>0.2229650375379906</v>
      </c>
      <c r="C23" s="2">
        <f t="shared" si="0"/>
        <v>10.203318087541687</v>
      </c>
    </row>
    <row r="24" spans="1:3" x14ac:dyDescent="0.25">
      <c r="A24">
        <v>21</v>
      </c>
      <c r="B24">
        <f>1/(1+Costs_general!$D$4)^(A24-0.5)</f>
        <v>0.20644910883147274</v>
      </c>
      <c r="C24">
        <f t="shared" si="0"/>
        <v>10.40976719637316</v>
      </c>
    </row>
    <row r="25" spans="1:3" x14ac:dyDescent="0.25">
      <c r="A25">
        <v>22</v>
      </c>
      <c r="B25">
        <f>1/(1+Costs_general!$D$4)^(A25-0.5)</f>
        <v>0.19115658225136364</v>
      </c>
      <c r="C25">
        <f t="shared" si="0"/>
        <v>10.600923778624523</v>
      </c>
    </row>
    <row r="26" spans="1:3" x14ac:dyDescent="0.25">
      <c r="A26">
        <v>23</v>
      </c>
      <c r="B26">
        <f>1/(1+Costs_general!$D$4)^(A26-0.5)</f>
        <v>0.17699683541792929</v>
      </c>
      <c r="C26">
        <f t="shared" si="0"/>
        <v>10.777920614042452</v>
      </c>
    </row>
    <row r="27" spans="1:3" x14ac:dyDescent="0.25">
      <c r="A27">
        <v>24</v>
      </c>
      <c r="B27">
        <f>1/(1+Costs_general!$D$4)^(A27-0.5)</f>
        <v>0.1638859587203049</v>
      </c>
      <c r="C27">
        <f t="shared" si="0"/>
        <v>10.941806572762758</v>
      </c>
    </row>
    <row r="28" spans="1:3" x14ac:dyDescent="0.25">
      <c r="A28">
        <v>25</v>
      </c>
      <c r="B28">
        <f>1/(1+Costs_general!$D$4)^(A28-0.5)</f>
        <v>0.15174625807435635</v>
      </c>
      <c r="C28">
        <f t="shared" si="0"/>
        <v>11.093552830837114</v>
      </c>
    </row>
    <row r="29" spans="1:3" x14ac:dyDescent="0.25">
      <c r="A29">
        <v>26</v>
      </c>
      <c r="B29">
        <f>1/(1+Costs_general!$D$4)^(A29-0.5)</f>
        <v>0.1405057945132929</v>
      </c>
      <c r="C29">
        <f t="shared" si="0"/>
        <v>11.234058625350407</v>
      </c>
    </row>
    <row r="30" spans="1:3" x14ac:dyDescent="0.25">
      <c r="A30">
        <v>27</v>
      </c>
      <c r="B30">
        <f>1/(1+Costs_general!$D$4)^(A30-0.5)</f>
        <v>0.13009795788267858</v>
      </c>
      <c r="C30">
        <f t="shared" si="0"/>
        <v>11.364156583233086</v>
      </c>
    </row>
    <row r="31" spans="1:3" x14ac:dyDescent="0.25">
      <c r="A31">
        <v>28</v>
      </c>
      <c r="B31">
        <f>1/(1+Costs_general!$D$4)^(A31-0.5)</f>
        <v>0.12046107211359131</v>
      </c>
      <c r="C31">
        <f t="shared" si="0"/>
        <v>11.484617655346678</v>
      </c>
    </row>
    <row r="32" spans="1:3" x14ac:dyDescent="0.25">
      <c r="A32">
        <v>29</v>
      </c>
      <c r="B32">
        <f>1/(1+Costs_general!$D$4)^(A32-0.5)</f>
        <v>0.11153802973480675</v>
      </c>
      <c r="C32">
        <f t="shared" si="0"/>
        <v>11.596155685081484</v>
      </c>
    </row>
    <row r="33" spans="1:3" x14ac:dyDescent="0.25">
      <c r="A33">
        <v>30</v>
      </c>
      <c r="B33">
        <f>1/(1+Costs_general!$D$4)^(A33-0.5)</f>
        <v>0.10327595345815441</v>
      </c>
      <c r="C33" s="2">
        <f t="shared" si="0"/>
        <v>11.69943163853964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60" zoomScaleNormal="100" workbookViewId="0"/>
  </sheetViews>
  <sheetFormatPr defaultRowHeight="15" x14ac:dyDescent="0.25"/>
  <cols>
    <col min="1" max="1" width="59.28515625" customWidth="1"/>
    <col min="2" max="2" width="9.7109375" bestFit="1" customWidth="1"/>
    <col min="3" max="3" width="9.140625" customWidth="1"/>
    <col min="4" max="4" width="10.5703125" customWidth="1"/>
    <col min="8" max="10" width="9.28515625" bestFit="1" customWidth="1"/>
  </cols>
  <sheetData>
    <row r="1" spans="1:9" x14ac:dyDescent="0.25">
      <c r="A1" s="5" t="s">
        <v>89</v>
      </c>
    </row>
    <row r="3" spans="1:9" x14ac:dyDescent="0.25">
      <c r="A3" s="5" t="s">
        <v>91</v>
      </c>
    </row>
    <row r="4" spans="1:9" x14ac:dyDescent="0.25">
      <c r="A4" t="s">
        <v>0</v>
      </c>
      <c r="D4" s="4">
        <v>0.08</v>
      </c>
    </row>
    <row r="5" spans="1:9" x14ac:dyDescent="0.25">
      <c r="A5" t="s">
        <v>17</v>
      </c>
      <c r="D5" s="20">
        <v>175</v>
      </c>
    </row>
    <row r="6" spans="1:9" x14ac:dyDescent="0.25">
      <c r="A6" t="s">
        <v>75</v>
      </c>
      <c r="D6" s="20">
        <v>80</v>
      </c>
    </row>
    <row r="7" spans="1:9" x14ac:dyDescent="0.25">
      <c r="A7" t="s">
        <v>54</v>
      </c>
      <c r="D7" s="21">
        <v>5</v>
      </c>
    </row>
    <row r="8" spans="1:9" x14ac:dyDescent="0.25">
      <c r="A8" t="s">
        <v>80</v>
      </c>
      <c r="D8" s="21">
        <v>5</v>
      </c>
    </row>
    <row r="10" spans="1:9" x14ac:dyDescent="0.25">
      <c r="E10" s="6" t="s">
        <v>5</v>
      </c>
      <c r="F10" s="6"/>
      <c r="G10" s="6"/>
    </row>
    <row r="11" spans="1:9" x14ac:dyDescent="0.25">
      <c r="E11" s="103" t="s">
        <v>11</v>
      </c>
      <c r="F11" s="103" t="s">
        <v>12</v>
      </c>
      <c r="G11" s="103" t="s">
        <v>13</v>
      </c>
    </row>
    <row r="12" spans="1:9" x14ac:dyDescent="0.25">
      <c r="E12" s="1">
        <f>'disc rate calcs'!$C$8</f>
        <v>4.1493459864656757</v>
      </c>
      <c r="F12" s="1">
        <f>'disc rate calcs'!$C$13</f>
        <v>6.9733211435336564</v>
      </c>
      <c r="G12" s="1">
        <f>'disc rate calcs'!$C$23</f>
        <v>10.203318087541687</v>
      </c>
    </row>
    <row r="13" spans="1:9" x14ac:dyDescent="0.25">
      <c r="E13" s="1"/>
      <c r="F13" s="1"/>
      <c r="G13" s="1"/>
    </row>
    <row r="14" spans="1:9" x14ac:dyDescent="0.25">
      <c r="A14" s="46" t="s">
        <v>15</v>
      </c>
      <c r="B14" s="47"/>
      <c r="C14" s="47"/>
      <c r="D14" s="47"/>
      <c r="E14" s="48"/>
      <c r="F14" s="48"/>
      <c r="G14" s="48"/>
      <c r="H14" s="47"/>
      <c r="I14" s="47"/>
    </row>
    <row r="15" spans="1:9" x14ac:dyDescent="0.25">
      <c r="A15" s="5"/>
      <c r="E15" s="1"/>
      <c r="F15" s="1"/>
      <c r="G15" s="1"/>
    </row>
    <row r="16" spans="1:9" x14ac:dyDescent="0.25">
      <c r="A16" s="34" t="s">
        <v>6</v>
      </c>
      <c r="E16" s="1"/>
      <c r="F16" s="1"/>
      <c r="G16" s="1"/>
    </row>
    <row r="17" spans="1:9" s="49" customFormat="1" x14ac:dyDescent="0.25">
      <c r="A17" t="s">
        <v>55</v>
      </c>
      <c r="B17"/>
      <c r="C17"/>
      <c r="D17" s="21">
        <v>1</v>
      </c>
      <c r="E17" s="50"/>
      <c r="F17" s="50"/>
      <c r="G17" s="50"/>
    </row>
    <row r="18" spans="1:9" s="49" customFormat="1" x14ac:dyDescent="0.25">
      <c r="E18" s="50"/>
      <c r="F18" s="50"/>
      <c r="G18" s="50"/>
    </row>
    <row r="19" spans="1:9" s="49" customFormat="1" x14ac:dyDescent="0.25">
      <c r="E19" s="140" t="s">
        <v>191</v>
      </c>
      <c r="F19" s="140"/>
      <c r="G19" s="140"/>
    </row>
    <row r="20" spans="1:9" s="49" customFormat="1" x14ac:dyDescent="0.25">
      <c r="E20" s="104" t="s">
        <v>11</v>
      </c>
      <c r="F20" s="104" t="s">
        <v>12</v>
      </c>
      <c r="G20" s="104" t="s">
        <v>13</v>
      </c>
    </row>
    <row r="21" spans="1:9" x14ac:dyDescent="0.25">
      <c r="A21" s="34" t="s">
        <v>90</v>
      </c>
      <c r="B21" s="54" t="s">
        <v>4</v>
      </c>
      <c r="C21" s="54"/>
      <c r="D21" s="54"/>
      <c r="E21" s="106" t="s">
        <v>4</v>
      </c>
      <c r="F21" s="106" t="s">
        <v>4</v>
      </c>
      <c r="G21" s="106" t="s">
        <v>4</v>
      </c>
    </row>
    <row r="22" spans="1:9" ht="29.25" customHeight="1" x14ac:dyDescent="0.25">
      <c r="A22" s="25" t="s">
        <v>190</v>
      </c>
      <c r="B22" s="52">
        <f>10.26+42.39+4.59+8.37+0.81+10.26+5.67</f>
        <v>82.350000000000009</v>
      </c>
      <c r="E22" s="108">
        <f>$B22</f>
        <v>82.350000000000009</v>
      </c>
      <c r="F22" s="108">
        <f t="shared" ref="F22:G28" si="0">$B22</f>
        <v>82.350000000000009</v>
      </c>
      <c r="G22" s="108">
        <f>$B22</f>
        <v>82.350000000000009</v>
      </c>
    </row>
    <row r="23" spans="1:9" x14ac:dyDescent="0.25">
      <c r="A23" s="25" t="s">
        <v>171</v>
      </c>
      <c r="B23" s="52">
        <v>10.26</v>
      </c>
      <c r="E23" s="108">
        <f>$B23</f>
        <v>10.26</v>
      </c>
      <c r="F23" s="108">
        <f t="shared" si="0"/>
        <v>10.26</v>
      </c>
      <c r="G23" s="108">
        <f t="shared" si="0"/>
        <v>10.26</v>
      </c>
    </row>
    <row r="24" spans="1:9" ht="30" x14ac:dyDescent="0.25">
      <c r="A24" s="25" t="s">
        <v>172</v>
      </c>
      <c r="B24" s="52">
        <v>40</v>
      </c>
      <c r="E24" s="108">
        <f>$B24</f>
        <v>40</v>
      </c>
      <c r="F24" s="108">
        <f t="shared" si="0"/>
        <v>40</v>
      </c>
      <c r="G24" s="108">
        <f t="shared" si="0"/>
        <v>40</v>
      </c>
    </row>
    <row r="25" spans="1:9" x14ac:dyDescent="0.25">
      <c r="A25" s="25" t="s">
        <v>173</v>
      </c>
      <c r="B25" s="52">
        <v>10</v>
      </c>
      <c r="E25" s="108">
        <f t="shared" ref="E25" si="1">$B25</f>
        <v>10</v>
      </c>
      <c r="F25" s="108">
        <f t="shared" si="0"/>
        <v>10</v>
      </c>
      <c r="G25" s="108">
        <f t="shared" si="0"/>
        <v>10</v>
      </c>
    </row>
    <row r="26" spans="1:9" x14ac:dyDescent="0.25">
      <c r="B26" s="53"/>
      <c r="E26" s="107"/>
      <c r="F26" s="107"/>
      <c r="G26" s="107"/>
    </row>
    <row r="27" spans="1:9" x14ac:dyDescent="0.25">
      <c r="A27" s="34" t="s">
        <v>49</v>
      </c>
      <c r="B27" s="54" t="s">
        <v>4</v>
      </c>
      <c r="C27" s="54"/>
      <c r="D27" s="54"/>
      <c r="E27" s="106" t="s">
        <v>4</v>
      </c>
      <c r="F27" s="106" t="s">
        <v>4</v>
      </c>
      <c r="G27" s="106" t="s">
        <v>4</v>
      </c>
    </row>
    <row r="28" spans="1:9" x14ac:dyDescent="0.25">
      <c r="A28" t="s">
        <v>16</v>
      </c>
      <c r="B28" s="7">
        <f>D5*D7*D17/1000</f>
        <v>0.875</v>
      </c>
      <c r="E28" s="108">
        <f>$B28</f>
        <v>0.875</v>
      </c>
      <c r="F28" s="108">
        <f t="shared" si="0"/>
        <v>0.875</v>
      </c>
      <c r="G28" s="108">
        <f t="shared" si="0"/>
        <v>0.875</v>
      </c>
    </row>
    <row r="29" spans="1:9" x14ac:dyDescent="0.25">
      <c r="B29" s="7"/>
      <c r="E29" s="107"/>
      <c r="F29" s="107"/>
      <c r="G29" s="107"/>
    </row>
    <row r="30" spans="1:9" x14ac:dyDescent="0.25">
      <c r="A30" s="5" t="s">
        <v>92</v>
      </c>
      <c r="E30" s="109">
        <f>SUM(E22:E28)</f>
        <v>143.48500000000001</v>
      </c>
      <c r="F30" s="109">
        <f t="shared" ref="F30:G30" si="2">SUM(F22:F28)</f>
        <v>143.48500000000001</v>
      </c>
      <c r="G30" s="109">
        <f t="shared" si="2"/>
        <v>143.48500000000001</v>
      </c>
    </row>
    <row r="31" spans="1:9" x14ac:dyDescent="0.25">
      <c r="E31" s="1"/>
      <c r="F31" s="1"/>
      <c r="G31" s="1"/>
    </row>
    <row r="32" spans="1:9" x14ac:dyDescent="0.25">
      <c r="A32" s="46" t="s">
        <v>76</v>
      </c>
      <c r="B32" s="47"/>
      <c r="C32" s="47"/>
      <c r="D32" s="47"/>
      <c r="E32" s="48"/>
      <c r="F32" s="48"/>
      <c r="G32" s="48"/>
      <c r="H32" s="47"/>
      <c r="I32" s="47"/>
    </row>
    <row r="33" spans="1:18" s="8" customFormat="1" x14ac:dyDescent="0.25">
      <c r="A33" s="19"/>
      <c r="E33" s="51"/>
      <c r="F33" s="51"/>
      <c r="G33" s="51"/>
    </row>
    <row r="34" spans="1:18" s="8" customFormat="1" x14ac:dyDescent="0.25">
      <c r="A34" s="55" t="s">
        <v>6</v>
      </c>
      <c r="E34" s="51"/>
      <c r="F34" s="51"/>
      <c r="G34" s="51"/>
    </row>
    <row r="35" spans="1:18" s="8" customFormat="1" x14ac:dyDescent="0.25">
      <c r="A35" t="s">
        <v>78</v>
      </c>
      <c r="B35"/>
      <c r="C35"/>
      <c r="D35" s="21">
        <v>10</v>
      </c>
      <c r="E35" s="51"/>
      <c r="F35" s="51"/>
      <c r="G35" s="51"/>
    </row>
    <row r="36" spans="1:18" x14ac:dyDescent="0.25">
      <c r="A36" t="s">
        <v>93</v>
      </c>
      <c r="D36" s="21">
        <v>8</v>
      </c>
    </row>
    <row r="37" spans="1:18" x14ac:dyDescent="0.25">
      <c r="A37" t="s">
        <v>94</v>
      </c>
      <c r="D37" s="21">
        <v>8</v>
      </c>
    </row>
    <row r="38" spans="1:18" x14ac:dyDescent="0.25">
      <c r="A38" t="s">
        <v>81</v>
      </c>
      <c r="D38" s="44">
        <v>1</v>
      </c>
    </row>
    <row r="39" spans="1:18" x14ac:dyDescent="0.25">
      <c r="D39" s="105"/>
    </row>
    <row r="40" spans="1:18" x14ac:dyDescent="0.25">
      <c r="D40" s="105"/>
      <c r="E40" s="140" t="s">
        <v>191</v>
      </c>
      <c r="F40" s="140"/>
      <c r="G40" s="140"/>
    </row>
    <row r="41" spans="1:18" s="8" customFormat="1" x14ac:dyDescent="0.25">
      <c r="A41" s="19"/>
      <c r="E41" s="104" t="s">
        <v>11</v>
      </c>
      <c r="F41" s="104" t="s">
        <v>12</v>
      </c>
      <c r="G41" s="104" t="s">
        <v>13</v>
      </c>
    </row>
    <row r="42" spans="1:18" x14ac:dyDescent="0.25">
      <c r="A42" s="34" t="s">
        <v>90</v>
      </c>
      <c r="B42" s="37" t="s">
        <v>48</v>
      </c>
      <c r="E42" s="106" t="s">
        <v>4</v>
      </c>
      <c r="F42" s="106" t="s">
        <v>4</v>
      </c>
      <c r="G42" s="106" t="s">
        <v>4</v>
      </c>
    </row>
    <row r="43" spans="1:18" x14ac:dyDescent="0.25">
      <c r="A43" s="8" t="s">
        <v>77</v>
      </c>
      <c r="B43" s="53">
        <f>D35*D6/1000</f>
        <v>0.8</v>
      </c>
      <c r="C43" s="33"/>
      <c r="D43" s="8"/>
      <c r="E43" s="23">
        <f>$B43*E$12</f>
        <v>3.3194767891725405</v>
      </c>
      <c r="F43" s="23">
        <f t="shared" ref="F43:G43" si="3">$B43*F$12</f>
        <v>5.5786569148269258</v>
      </c>
      <c r="G43" s="23">
        <f t="shared" si="3"/>
        <v>8.1626544700333508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x14ac:dyDescent="0.25">
      <c r="A44" s="8" t="s">
        <v>79</v>
      </c>
      <c r="B44" s="53">
        <f>(D37+D36)*D6/1000</f>
        <v>1.28</v>
      </c>
      <c r="C44" s="33"/>
      <c r="D44" s="8"/>
      <c r="E44" s="23">
        <f>$B44*E$12</f>
        <v>5.3111628626760652</v>
      </c>
      <c r="F44" s="23">
        <f>$B44*F$12</f>
        <v>8.9258510637230799</v>
      </c>
      <c r="G44" s="23">
        <f>$B44*G$12</f>
        <v>13.060247152053361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x14ac:dyDescent="0.25">
      <c r="A45" s="8"/>
      <c r="B45" s="8"/>
      <c r="C45" s="8"/>
      <c r="D45" s="8"/>
      <c r="E45" s="32">
        <f>SUM(E43:E44)</f>
        <v>8.6306396518486057</v>
      </c>
      <c r="F45" s="32">
        <f>SUM(F43:F44)</f>
        <v>14.504507978550006</v>
      </c>
      <c r="G45" s="32">
        <f>SUM(G43:G44)</f>
        <v>21.222901622086709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x14ac:dyDescent="0.25">
      <c r="A47" s="34" t="s">
        <v>49</v>
      </c>
      <c r="B47" s="37" t="s">
        <v>48</v>
      </c>
      <c r="E47" s="106" t="s">
        <v>4</v>
      </c>
      <c r="F47" s="106" t="s">
        <v>4</v>
      </c>
      <c r="G47" s="106" t="s">
        <v>4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30" x14ac:dyDescent="0.25">
      <c r="A48" s="36" t="s">
        <v>53</v>
      </c>
      <c r="B48" s="53">
        <f>D7*D38*D5/1000</f>
        <v>0.875</v>
      </c>
      <c r="C48" s="33"/>
      <c r="D48" s="8"/>
      <c r="E48" s="23">
        <f>$B48*E$12</f>
        <v>3.6306777381574662</v>
      </c>
      <c r="F48" s="23">
        <f t="shared" ref="F48:G48" si="4">$B48*F$12</f>
        <v>6.1016560005919498</v>
      </c>
      <c r="G48" s="23">
        <f t="shared" si="4"/>
        <v>8.927903326598976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7" x14ac:dyDescent="0.25">
      <c r="A49" s="8"/>
      <c r="B49" s="8"/>
      <c r="C49" s="8"/>
      <c r="D49" s="8"/>
      <c r="E49" s="32">
        <f>SUM(E48:E48)</f>
        <v>3.6306777381574662</v>
      </c>
      <c r="F49" s="32">
        <f>SUM(F48:F48)</f>
        <v>6.1016560005919498</v>
      </c>
      <c r="G49" s="32">
        <f>SUM(G48:G48)</f>
        <v>8.927903326598976</v>
      </c>
    </row>
    <row r="51" spans="1:7" x14ac:dyDescent="0.25">
      <c r="A51" s="34" t="s">
        <v>82</v>
      </c>
      <c r="B51" s="37" t="s">
        <v>48</v>
      </c>
      <c r="E51" s="106" t="s">
        <v>4</v>
      </c>
      <c r="F51" s="106" t="s">
        <v>4</v>
      </c>
      <c r="G51" s="106" t="s">
        <v>4</v>
      </c>
    </row>
    <row r="52" spans="1:7" x14ac:dyDescent="0.25">
      <c r="A52" s="36" t="s">
        <v>83</v>
      </c>
      <c r="B52" s="53">
        <f>D37*D8*D5/1000</f>
        <v>7</v>
      </c>
      <c r="C52" s="33"/>
      <c r="D52" s="8"/>
      <c r="E52" s="23">
        <f>$B52*E$12</f>
        <v>29.04542190525973</v>
      </c>
      <c r="F52" s="23">
        <f t="shared" ref="F52:G52" si="5">$B52*F$12</f>
        <v>48.813248004735598</v>
      </c>
      <c r="G52" s="23">
        <f t="shared" si="5"/>
        <v>71.423226612791808</v>
      </c>
    </row>
    <row r="53" spans="1:7" x14ac:dyDescent="0.25">
      <c r="A53" s="8"/>
      <c r="B53" s="8"/>
      <c r="C53" s="8"/>
      <c r="D53" s="8"/>
      <c r="E53" s="32">
        <f>SUM(E52:E52)</f>
        <v>29.04542190525973</v>
      </c>
      <c r="F53" s="32">
        <f>SUM(F52:F52)</f>
        <v>48.813248004735598</v>
      </c>
      <c r="G53" s="32">
        <f>SUM(G52:G52)</f>
        <v>71.423226612791808</v>
      </c>
    </row>
    <row r="55" spans="1:7" x14ac:dyDescent="0.25">
      <c r="A55" s="5" t="s">
        <v>192</v>
      </c>
      <c r="E55" s="22">
        <f>SUM(E45,E49,E53)</f>
        <v>41.3067392952658</v>
      </c>
      <c r="F55" s="22">
        <f t="shared" ref="F55:G55" si="6">SUM(F45,F49,F53)</f>
        <v>69.419411983877552</v>
      </c>
      <c r="G55" s="22">
        <f t="shared" si="6"/>
        <v>101.5740315614775</v>
      </c>
    </row>
  </sheetData>
  <mergeCells count="2">
    <mergeCell ref="E19:G19"/>
    <mergeCell ref="E40:G40"/>
  </mergeCells>
  <pageMargins left="0.7" right="0.7" top="0.75" bottom="0.75" header="0.3" footer="0.3"/>
  <pageSetup paperSize="9" scale="86" orientation="landscape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zoomScale="60" zoomScaleNormal="100" workbookViewId="0">
      <selection activeCell="A35" sqref="A35"/>
    </sheetView>
  </sheetViews>
  <sheetFormatPr defaultRowHeight="15" x14ac:dyDescent="0.25"/>
  <cols>
    <col min="1" max="1" width="64.28515625" customWidth="1"/>
    <col min="8" max="8" width="5.85546875" customWidth="1"/>
    <col min="9" max="9" width="31.7109375" hidden="1" customWidth="1"/>
  </cols>
  <sheetData>
    <row r="1" spans="1:9" x14ac:dyDescent="0.25">
      <c r="A1" s="5" t="s">
        <v>60</v>
      </c>
    </row>
    <row r="2" spans="1:9" x14ac:dyDescent="0.25">
      <c r="B2" s="5"/>
    </row>
    <row r="3" spans="1:9" x14ac:dyDescent="0.25">
      <c r="A3" s="49" t="s">
        <v>61</v>
      </c>
      <c r="B3" s="2">
        <v>1.5</v>
      </c>
    </row>
    <row r="4" spans="1:9" x14ac:dyDescent="0.25">
      <c r="A4" s="49" t="s">
        <v>62</v>
      </c>
      <c r="B4" s="2">
        <v>1.5</v>
      </c>
    </row>
    <row r="6" spans="1:9" x14ac:dyDescent="0.25">
      <c r="B6" s="103" t="s">
        <v>42</v>
      </c>
    </row>
    <row r="7" spans="1:9" x14ac:dyDescent="0.25">
      <c r="A7" s="49" t="s">
        <v>112</v>
      </c>
      <c r="B7" s="18">
        <f>'Benefits_freq chng_ex DUML'!B69</f>
        <v>7214.2528735632186</v>
      </c>
    </row>
    <row r="9" spans="1:9" x14ac:dyDescent="0.25">
      <c r="A9" s="46" t="s">
        <v>61</v>
      </c>
      <c r="B9" s="47"/>
      <c r="C9" s="47"/>
      <c r="D9" s="47"/>
      <c r="E9" s="48"/>
      <c r="F9" s="48"/>
      <c r="G9" s="48"/>
      <c r="H9" s="47"/>
      <c r="I9" s="47"/>
    </row>
    <row r="10" spans="1:9" x14ac:dyDescent="0.25">
      <c r="A10" s="5"/>
    </row>
    <row r="11" spans="1:9" x14ac:dyDescent="0.25">
      <c r="A11" s="49" t="s">
        <v>68</v>
      </c>
      <c r="B11" s="2">
        <v>0.8</v>
      </c>
    </row>
    <row r="12" spans="1:9" x14ac:dyDescent="0.25">
      <c r="B12" s="103" t="s">
        <v>42</v>
      </c>
    </row>
    <row r="13" spans="1:9" x14ac:dyDescent="0.25">
      <c r="A13" t="s">
        <v>193</v>
      </c>
      <c r="B13" s="18">
        <f>B3*B11*B7</f>
        <v>8657.1034482758641</v>
      </c>
    </row>
    <row r="14" spans="1:9" x14ac:dyDescent="0.25">
      <c r="A14" s="5"/>
      <c r="B14" s="18"/>
    </row>
    <row r="15" spans="1:9" x14ac:dyDescent="0.25">
      <c r="A15" s="5"/>
      <c r="B15" s="18"/>
    </row>
    <row r="16" spans="1:9" x14ac:dyDescent="0.25">
      <c r="A16" s="46" t="s">
        <v>62</v>
      </c>
      <c r="B16" s="47"/>
      <c r="C16" s="47"/>
      <c r="D16" s="47"/>
      <c r="E16" s="48"/>
      <c r="F16" s="48"/>
      <c r="G16" s="48"/>
      <c r="H16" s="47"/>
      <c r="I16" s="47"/>
    </row>
    <row r="17" spans="1:9" s="8" customFormat="1" x14ac:dyDescent="0.25">
      <c r="A17" s="19"/>
      <c r="B17" s="116" t="s">
        <v>42</v>
      </c>
      <c r="E17" s="51"/>
      <c r="F17" s="51"/>
      <c r="G17" s="51"/>
    </row>
    <row r="18" spans="1:9" x14ac:dyDescent="0.25">
      <c r="A18" s="49" t="s">
        <v>95</v>
      </c>
      <c r="B18" s="56">
        <v>4000</v>
      </c>
    </row>
    <row r="19" spans="1:9" x14ac:dyDescent="0.25">
      <c r="A19" s="49" t="s">
        <v>194</v>
      </c>
      <c r="B19" s="18">
        <f>B18*B4</f>
        <v>6000</v>
      </c>
    </row>
    <row r="20" spans="1:9" ht="15.75" thickBot="1" x14ac:dyDescent="0.3"/>
    <row r="21" spans="1:9" x14ac:dyDescent="0.25">
      <c r="A21" s="57"/>
      <c r="B21" s="58"/>
      <c r="C21" s="58"/>
      <c r="D21" s="59" t="s">
        <v>5</v>
      </c>
      <c r="E21" s="59"/>
      <c r="F21" s="59"/>
      <c r="G21" s="59"/>
      <c r="H21" s="58"/>
      <c r="I21" s="60"/>
    </row>
    <row r="22" spans="1:9" x14ac:dyDescent="0.25">
      <c r="A22" s="61"/>
      <c r="B22" s="62"/>
      <c r="C22" s="62"/>
      <c r="D22" s="62"/>
      <c r="E22" s="62" t="s">
        <v>11</v>
      </c>
      <c r="F22" s="62" t="s">
        <v>12</v>
      </c>
      <c r="G22" s="62" t="s">
        <v>13</v>
      </c>
      <c r="H22" s="62"/>
      <c r="I22" s="63"/>
    </row>
    <row r="23" spans="1:9" x14ac:dyDescent="0.25">
      <c r="A23" s="61"/>
      <c r="B23" s="62"/>
      <c r="C23" s="62"/>
      <c r="D23" s="62"/>
      <c r="E23" s="64">
        <f>'disc rate calcs'!C8</f>
        <v>4.1493459864656757</v>
      </c>
      <c r="F23" s="64">
        <f>'disc rate calcs'!C13</f>
        <v>6.9733211435336564</v>
      </c>
      <c r="G23" s="64">
        <f>'disc rate calcs'!C23</f>
        <v>10.203318087541687</v>
      </c>
      <c r="H23" s="62"/>
      <c r="I23" s="63"/>
    </row>
    <row r="24" spans="1:9" x14ac:dyDescent="0.25">
      <c r="A24" s="61"/>
      <c r="B24" s="62"/>
      <c r="C24" s="62"/>
      <c r="D24" s="62"/>
      <c r="E24" s="64"/>
      <c r="F24" s="64"/>
      <c r="G24" s="64"/>
      <c r="H24" s="62"/>
      <c r="I24" s="63"/>
    </row>
    <row r="25" spans="1:9" x14ac:dyDescent="0.25">
      <c r="A25" s="61"/>
      <c r="B25" s="62"/>
      <c r="C25" s="62"/>
      <c r="D25" s="62"/>
      <c r="E25" s="141" t="s">
        <v>191</v>
      </c>
      <c r="F25" s="141"/>
      <c r="G25" s="141"/>
      <c r="H25" s="62"/>
      <c r="I25" s="63"/>
    </row>
    <row r="26" spans="1:9" x14ac:dyDescent="0.25">
      <c r="A26" s="61"/>
      <c r="B26" s="112" t="s">
        <v>195</v>
      </c>
      <c r="C26" s="62"/>
      <c r="D26" s="62"/>
      <c r="E26" s="110" t="s">
        <v>11</v>
      </c>
      <c r="F26" s="110" t="s">
        <v>12</v>
      </c>
      <c r="G26" s="110" t="s">
        <v>13</v>
      </c>
      <c r="H26" s="62"/>
      <c r="I26" s="63"/>
    </row>
    <row r="27" spans="1:9" x14ac:dyDescent="0.25">
      <c r="A27" s="65"/>
      <c r="B27" s="111" t="s">
        <v>4</v>
      </c>
      <c r="C27" s="62"/>
      <c r="D27" s="62"/>
      <c r="E27" s="111" t="s">
        <v>4</v>
      </c>
      <c r="F27" s="111" t="s">
        <v>4</v>
      </c>
      <c r="G27" s="111" t="s">
        <v>4</v>
      </c>
      <c r="H27" s="62"/>
      <c r="I27" s="63"/>
    </row>
    <row r="28" spans="1:9" x14ac:dyDescent="0.25">
      <c r="A28" s="65" t="s">
        <v>196</v>
      </c>
      <c r="B28" s="113">
        <f>B13/1000</f>
        <v>8.6571034482758638</v>
      </c>
      <c r="C28" s="114"/>
      <c r="D28" s="114"/>
      <c r="E28" s="115">
        <f>$B28*E$23</f>
        <v>35.921317447521616</v>
      </c>
      <c r="F28" s="115">
        <f t="shared" ref="F28:G29" si="0">$B28*F$23</f>
        <v>60.368762517620205</v>
      </c>
      <c r="G28" s="115">
        <f t="shared" si="0"/>
        <v>88.33118019951263</v>
      </c>
      <c r="H28" s="62"/>
      <c r="I28" s="63"/>
    </row>
    <row r="29" spans="1:9" x14ac:dyDescent="0.25">
      <c r="A29" s="65" t="s">
        <v>197</v>
      </c>
      <c r="B29" s="113">
        <f>B19/1000</f>
        <v>6</v>
      </c>
      <c r="C29" s="114"/>
      <c r="D29" s="114"/>
      <c r="E29" s="115">
        <f>$B29*E$23</f>
        <v>24.896075918794054</v>
      </c>
      <c r="F29" s="115">
        <f t="shared" si="0"/>
        <v>41.839926861201938</v>
      </c>
      <c r="G29" s="115">
        <f t="shared" si="0"/>
        <v>61.219908525250119</v>
      </c>
      <c r="H29" s="62"/>
      <c r="I29" s="63"/>
    </row>
    <row r="30" spans="1:9" ht="15.75" thickBot="1" x14ac:dyDescent="0.3">
      <c r="A30" s="66"/>
      <c r="B30" s="67"/>
      <c r="C30" s="67"/>
      <c r="D30" s="67"/>
      <c r="E30" s="68"/>
      <c r="F30" s="68"/>
      <c r="G30" s="68"/>
      <c r="H30" s="67"/>
      <c r="I30" s="69"/>
    </row>
  </sheetData>
  <mergeCells count="1">
    <mergeCell ref="E25:G25"/>
  </mergeCells>
  <pageMargins left="0.7" right="0.7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view="pageBreakPreview" zoomScale="60" zoomScaleNormal="90" workbookViewId="0"/>
  </sheetViews>
  <sheetFormatPr defaultRowHeight="15" x14ac:dyDescent="0.25"/>
  <cols>
    <col min="1" max="1" width="56.42578125" customWidth="1"/>
    <col min="2" max="15" width="13.7109375" customWidth="1"/>
    <col min="16" max="21" width="13.5703125" customWidth="1"/>
  </cols>
  <sheetData>
    <row r="1" spans="1:14" x14ac:dyDescent="0.25">
      <c r="A1" s="46" t="s">
        <v>209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B2" s="5" t="s">
        <v>25</v>
      </c>
      <c r="C2" s="5"/>
      <c r="D2" s="5"/>
      <c r="E2" s="5"/>
      <c r="F2" s="5"/>
      <c r="G2" s="5"/>
    </row>
    <row r="3" spans="1:14" ht="30" x14ac:dyDescent="0.25">
      <c r="A3" s="5" t="s">
        <v>26</v>
      </c>
      <c r="B3" s="117" t="s">
        <v>19</v>
      </c>
      <c r="C3" s="117" t="s">
        <v>20</v>
      </c>
      <c r="D3" s="117" t="s">
        <v>21</v>
      </c>
      <c r="E3" s="117" t="s">
        <v>24</v>
      </c>
      <c r="F3" s="117" t="s">
        <v>23</v>
      </c>
      <c r="G3" s="117" t="s">
        <v>22</v>
      </c>
      <c r="J3" s="5" t="s">
        <v>18</v>
      </c>
    </row>
    <row r="4" spans="1:14" x14ac:dyDescent="0.25">
      <c r="A4" s="5" t="s">
        <v>27</v>
      </c>
      <c r="B4" s="2">
        <v>0</v>
      </c>
      <c r="C4" s="2">
        <v>0</v>
      </c>
      <c r="D4" s="2">
        <v>0</v>
      </c>
      <c r="E4" s="2">
        <v>0</v>
      </c>
      <c r="F4" s="2">
        <v>65</v>
      </c>
      <c r="G4" s="2">
        <v>0</v>
      </c>
      <c r="J4">
        <f>SUM(B4:G4)</f>
        <v>65</v>
      </c>
    </row>
    <row r="5" spans="1:14" x14ac:dyDescent="0.25">
      <c r="A5" s="5" t="s">
        <v>28</v>
      </c>
      <c r="B5" s="2">
        <v>61</v>
      </c>
      <c r="C5" s="2">
        <v>49</v>
      </c>
      <c r="D5" s="2">
        <v>9</v>
      </c>
      <c r="E5" s="2">
        <v>10</v>
      </c>
      <c r="F5" s="2">
        <v>0</v>
      </c>
      <c r="G5" s="2">
        <v>0</v>
      </c>
      <c r="J5">
        <f t="shared" ref="J5:J8" si="0">SUM(B5:G5)</f>
        <v>129</v>
      </c>
    </row>
    <row r="6" spans="1:14" x14ac:dyDescent="0.25">
      <c r="A6" s="5" t="s">
        <v>29</v>
      </c>
      <c r="B6" s="2">
        <v>6</v>
      </c>
      <c r="C6" s="2">
        <v>29</v>
      </c>
      <c r="D6" s="2">
        <v>10</v>
      </c>
      <c r="E6" s="2">
        <v>7</v>
      </c>
      <c r="F6" s="2">
        <v>0</v>
      </c>
      <c r="G6" s="2">
        <v>1</v>
      </c>
      <c r="J6">
        <f t="shared" si="0"/>
        <v>53</v>
      </c>
    </row>
    <row r="7" spans="1:14" x14ac:dyDescent="0.25">
      <c r="A7" s="5" t="s">
        <v>30</v>
      </c>
      <c r="B7" s="2">
        <v>18</v>
      </c>
      <c r="C7" s="2">
        <v>0</v>
      </c>
      <c r="D7" s="2">
        <v>10</v>
      </c>
      <c r="E7" s="2">
        <v>0</v>
      </c>
      <c r="F7" s="2">
        <v>0</v>
      </c>
      <c r="G7" s="2">
        <v>0</v>
      </c>
      <c r="J7">
        <f t="shared" si="0"/>
        <v>28</v>
      </c>
    </row>
    <row r="8" spans="1:14" x14ac:dyDescent="0.25">
      <c r="A8" s="5" t="s">
        <v>18</v>
      </c>
      <c r="B8" s="5">
        <f>SUM(B4:B7)</f>
        <v>85</v>
      </c>
      <c r="C8" s="5">
        <f t="shared" ref="C8:G8" si="1">SUM(C4:C7)</f>
        <v>78</v>
      </c>
      <c r="D8" s="5">
        <f t="shared" si="1"/>
        <v>29</v>
      </c>
      <c r="E8" s="5">
        <f t="shared" si="1"/>
        <v>17</v>
      </c>
      <c r="F8" s="5">
        <f t="shared" si="1"/>
        <v>65</v>
      </c>
      <c r="G8" s="5">
        <f t="shared" si="1"/>
        <v>1</v>
      </c>
      <c r="J8" s="5">
        <f t="shared" si="0"/>
        <v>275</v>
      </c>
    </row>
    <row r="10" spans="1:14" x14ac:dyDescent="0.25">
      <c r="H10" t="s">
        <v>31</v>
      </c>
      <c r="J10" s="5">
        <f>J8-F8</f>
        <v>210</v>
      </c>
    </row>
    <row r="11" spans="1:14" x14ac:dyDescent="0.25">
      <c r="H11" t="s">
        <v>32</v>
      </c>
    </row>
    <row r="12" spans="1:14" x14ac:dyDescent="0.25">
      <c r="I12" t="s">
        <v>28</v>
      </c>
      <c r="J12" s="24">
        <f>(J5-F5)/J$10</f>
        <v>0.61428571428571432</v>
      </c>
    </row>
    <row r="13" spans="1:14" x14ac:dyDescent="0.25">
      <c r="I13" t="s">
        <v>29</v>
      </c>
      <c r="J13" s="24">
        <f t="shared" ref="J13:J14" si="2">(J6-F6)/J$10</f>
        <v>0.25238095238095237</v>
      </c>
    </row>
    <row r="14" spans="1:14" x14ac:dyDescent="0.25">
      <c r="I14" t="s">
        <v>30</v>
      </c>
      <c r="J14" s="24">
        <f t="shared" si="2"/>
        <v>0.13333333333333333</v>
      </c>
    </row>
    <row r="16" spans="1:14" x14ac:dyDescent="0.25">
      <c r="A16" s="46" t="s">
        <v>199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x14ac:dyDescent="0.25">
      <c r="A17" s="30" t="s">
        <v>47</v>
      </c>
    </row>
    <row r="18" spans="1:14" x14ac:dyDescent="0.25">
      <c r="C18" s="5"/>
      <c r="D18" s="5"/>
      <c r="E18" s="5"/>
      <c r="F18" s="5"/>
      <c r="G18" s="5"/>
    </row>
    <row r="19" spans="1:14" s="8" customFormat="1" x14ac:dyDescent="0.25">
      <c r="A19" s="19" t="s">
        <v>96</v>
      </c>
      <c r="B19" s="19" t="s">
        <v>109</v>
      </c>
      <c r="C19" s="19"/>
      <c r="D19" s="19"/>
      <c r="E19" s="19"/>
      <c r="F19" s="19"/>
      <c r="G19" s="19"/>
      <c r="H19" s="19" t="s">
        <v>110</v>
      </c>
      <c r="N19" s="19" t="s">
        <v>200</v>
      </c>
    </row>
    <row r="20" spans="1:14" s="8" customFormat="1" x14ac:dyDescent="0.25">
      <c r="A20" s="19" t="s">
        <v>97</v>
      </c>
      <c r="B20" s="19" t="s">
        <v>101</v>
      </c>
      <c r="C20" s="19" t="s">
        <v>102</v>
      </c>
      <c r="D20" s="19" t="s">
        <v>103</v>
      </c>
      <c r="E20" s="19" t="s">
        <v>104</v>
      </c>
      <c r="G20" s="19"/>
      <c r="H20" s="19" t="s">
        <v>101</v>
      </c>
      <c r="I20" s="19" t="s">
        <v>102</v>
      </c>
      <c r="J20" s="19" t="s">
        <v>103</v>
      </c>
      <c r="K20" s="19" t="s">
        <v>104</v>
      </c>
      <c r="L20" s="72" t="s">
        <v>105</v>
      </c>
      <c r="N20" s="118" t="s">
        <v>201</v>
      </c>
    </row>
    <row r="21" spans="1:14" s="8" customFormat="1" x14ac:dyDescent="0.25">
      <c r="A21" s="8" t="s">
        <v>98</v>
      </c>
      <c r="B21" s="2">
        <v>0</v>
      </c>
      <c r="C21" s="2">
        <v>0</v>
      </c>
      <c r="D21" s="2">
        <v>21</v>
      </c>
      <c r="E21" s="2">
        <v>40</v>
      </c>
      <c r="G21" s="19"/>
      <c r="H21" s="73">
        <f>B21/$B$5</f>
        <v>0</v>
      </c>
      <c r="I21" s="73">
        <f t="shared" ref="I21:K21" si="3">C21/$B$5</f>
        <v>0</v>
      </c>
      <c r="J21" s="73">
        <f t="shared" si="3"/>
        <v>0.34426229508196721</v>
      </c>
      <c r="K21" s="73">
        <f t="shared" si="3"/>
        <v>0.65573770491803274</v>
      </c>
      <c r="L21" s="74">
        <f>SUM(H21:K21)</f>
        <v>1</v>
      </c>
      <c r="N21" s="75">
        <f>H21*6+I21*12+J21*18+K21*24</f>
        <v>21.934426229508198</v>
      </c>
    </row>
    <row r="22" spans="1:14" s="8" customFormat="1" x14ac:dyDescent="0.25">
      <c r="A22" s="8" t="s">
        <v>99</v>
      </c>
      <c r="B22" s="2">
        <v>0</v>
      </c>
      <c r="C22" s="2">
        <v>3</v>
      </c>
      <c r="D22" s="2">
        <v>3</v>
      </c>
      <c r="E22" s="2">
        <v>0</v>
      </c>
      <c r="G22" s="19"/>
      <c r="H22" s="73">
        <f>B22/$B$6</f>
        <v>0</v>
      </c>
      <c r="I22" s="73">
        <f t="shared" ref="I22:K22" si="4">C22/$B$6</f>
        <v>0.5</v>
      </c>
      <c r="J22" s="73">
        <f t="shared" si="4"/>
        <v>0.5</v>
      </c>
      <c r="K22" s="73">
        <f t="shared" si="4"/>
        <v>0</v>
      </c>
      <c r="L22" s="74">
        <f t="shared" ref="L22:L23" si="5">SUM(H22:K22)</f>
        <v>1</v>
      </c>
      <c r="N22" s="75">
        <f t="shared" ref="N22:N23" si="6">H22*6+I22*12+J22*18+K22*24</f>
        <v>15</v>
      </c>
    </row>
    <row r="23" spans="1:14" s="8" customFormat="1" x14ac:dyDescent="0.25">
      <c r="A23" s="8" t="s">
        <v>100</v>
      </c>
      <c r="B23" s="2">
        <v>4</v>
      </c>
      <c r="C23" s="2">
        <v>10</v>
      </c>
      <c r="D23" s="2">
        <v>4</v>
      </c>
      <c r="E23" s="2">
        <v>0</v>
      </c>
      <c r="G23" s="19"/>
      <c r="H23" s="73">
        <f>B23/$B$7</f>
        <v>0.22222222222222221</v>
      </c>
      <c r="I23" s="73">
        <f t="shared" ref="I23:K23" si="7">C23/$B$7</f>
        <v>0.55555555555555558</v>
      </c>
      <c r="J23" s="73">
        <f t="shared" si="7"/>
        <v>0.22222222222222221</v>
      </c>
      <c r="K23" s="73">
        <f t="shared" si="7"/>
        <v>0</v>
      </c>
      <c r="L23" s="74">
        <f t="shared" si="5"/>
        <v>1</v>
      </c>
      <c r="N23" s="75">
        <f t="shared" si="6"/>
        <v>12</v>
      </c>
    </row>
    <row r="24" spans="1:14" s="8" customFormat="1" x14ac:dyDescent="0.25">
      <c r="G24" s="19"/>
      <c r="H24" s="73"/>
      <c r="I24" s="73"/>
      <c r="J24" s="73"/>
      <c r="K24" s="73"/>
      <c r="L24" s="74"/>
      <c r="N24" s="77">
        <f>(SUM(B21:B23)*6+SUM(C21:C23)*12+SUM(D21:D23)*18+SUM(E21:E23)*24)/SUM(B21:E23)</f>
        <v>19.341176470588234</v>
      </c>
    </row>
    <row r="25" spans="1:14" s="8" customFormat="1" x14ac:dyDescent="0.25">
      <c r="G25" s="19"/>
      <c r="H25" s="19"/>
      <c r="I25" s="19"/>
      <c r="J25" s="19"/>
      <c r="K25" s="19"/>
      <c r="L25" s="19"/>
    </row>
    <row r="26" spans="1:14" s="8" customFormat="1" x14ac:dyDescent="0.25">
      <c r="A26" s="19" t="s">
        <v>106</v>
      </c>
      <c r="B26" s="19" t="s">
        <v>101</v>
      </c>
      <c r="C26" s="19" t="s">
        <v>102</v>
      </c>
      <c r="D26" s="19" t="s">
        <v>103</v>
      </c>
      <c r="E26" s="19" t="s">
        <v>104</v>
      </c>
      <c r="G26" s="19"/>
      <c r="H26" s="19" t="s">
        <v>101</v>
      </c>
      <c r="I26" s="19" t="s">
        <v>102</v>
      </c>
      <c r="J26" s="19" t="s">
        <v>103</v>
      </c>
      <c r="K26" s="19" t="s">
        <v>104</v>
      </c>
      <c r="L26" s="72" t="s">
        <v>105</v>
      </c>
    </row>
    <row r="27" spans="1:14" s="8" customFormat="1" x14ac:dyDescent="0.25">
      <c r="A27" s="8" t="s">
        <v>98</v>
      </c>
      <c r="B27" s="2">
        <v>0</v>
      </c>
      <c r="C27" s="2">
        <v>0</v>
      </c>
      <c r="D27" s="2">
        <v>16</v>
      </c>
      <c r="E27" s="2">
        <v>33</v>
      </c>
      <c r="G27" s="19"/>
      <c r="H27" s="73">
        <f>B27/$C$5</f>
        <v>0</v>
      </c>
      <c r="I27" s="73">
        <f t="shared" ref="I27:K27" si="8">C27/$C$5</f>
        <v>0</v>
      </c>
      <c r="J27" s="73">
        <f t="shared" si="8"/>
        <v>0.32653061224489793</v>
      </c>
      <c r="K27" s="73">
        <f t="shared" si="8"/>
        <v>0.67346938775510201</v>
      </c>
      <c r="L27" s="74">
        <f>SUM(H27:K27)</f>
        <v>1</v>
      </c>
      <c r="N27" s="75">
        <f t="shared" ref="N27:N28" si="9">H27*6+I27*12+J27*18+K27*24</f>
        <v>22.04081632653061</v>
      </c>
    </row>
    <row r="28" spans="1:14" s="8" customFormat="1" x14ac:dyDescent="0.25">
      <c r="A28" s="8" t="s">
        <v>99</v>
      </c>
      <c r="B28" s="2">
        <v>0</v>
      </c>
      <c r="C28" s="2">
        <v>15</v>
      </c>
      <c r="D28" s="2">
        <v>14</v>
      </c>
      <c r="E28" s="2">
        <v>0</v>
      </c>
      <c r="G28" s="19"/>
      <c r="H28" s="73">
        <f>B28/$C$6</f>
        <v>0</v>
      </c>
      <c r="I28" s="73">
        <f t="shared" ref="I28:K28" si="10">C28/$C$6</f>
        <v>0.51724137931034486</v>
      </c>
      <c r="J28" s="73">
        <f t="shared" si="10"/>
        <v>0.48275862068965519</v>
      </c>
      <c r="K28" s="73">
        <f t="shared" si="10"/>
        <v>0</v>
      </c>
      <c r="L28" s="74">
        <f>SUM(H28:K28)</f>
        <v>1</v>
      </c>
      <c r="N28" s="75">
        <f t="shared" si="9"/>
        <v>14.896551724137932</v>
      </c>
    </row>
    <row r="29" spans="1:14" s="8" customFormat="1" x14ac:dyDescent="0.25">
      <c r="G29" s="19"/>
      <c r="H29" s="73"/>
      <c r="I29" s="73"/>
      <c r="J29" s="73"/>
      <c r="K29" s="73"/>
      <c r="L29" s="74"/>
      <c r="N29" s="77">
        <f>(SUM(B27:B28)*6+SUM(C27:C28)*12+SUM(D27:D28)*18+SUM(E27:E28)*24)/SUM(B27:E28)</f>
        <v>19.384615384615383</v>
      </c>
    </row>
    <row r="30" spans="1:14" s="8" customFormat="1" x14ac:dyDescent="0.25">
      <c r="B30" s="19"/>
      <c r="C30" s="19"/>
      <c r="D30" s="19"/>
      <c r="E30" s="19"/>
      <c r="F30" s="74"/>
      <c r="G30" s="19"/>
    </row>
    <row r="31" spans="1:14" s="8" customFormat="1" x14ac:dyDescent="0.25">
      <c r="A31" s="19" t="s">
        <v>107</v>
      </c>
      <c r="B31" s="19"/>
      <c r="C31" s="19"/>
      <c r="D31" s="19"/>
      <c r="E31" s="19"/>
      <c r="F31" s="19"/>
      <c r="G31" s="19"/>
    </row>
    <row r="32" spans="1:14" s="8" customFormat="1" x14ac:dyDescent="0.25">
      <c r="A32" s="19" t="s">
        <v>97</v>
      </c>
      <c r="B32" s="19" t="s">
        <v>101</v>
      </c>
      <c r="C32" s="19" t="s">
        <v>102</v>
      </c>
      <c r="D32" s="19" t="s">
        <v>103</v>
      </c>
      <c r="E32" s="19" t="s">
        <v>104</v>
      </c>
      <c r="F32" s="19"/>
      <c r="G32" s="19"/>
      <c r="H32" s="19" t="s">
        <v>101</v>
      </c>
      <c r="I32" s="19" t="s">
        <v>102</v>
      </c>
      <c r="J32" s="19" t="s">
        <v>103</v>
      </c>
      <c r="K32" s="19" t="s">
        <v>104</v>
      </c>
      <c r="L32" s="72" t="s">
        <v>105</v>
      </c>
    </row>
    <row r="33" spans="1:21" s="8" customFormat="1" x14ac:dyDescent="0.25">
      <c r="A33" s="8" t="s">
        <v>98</v>
      </c>
      <c r="B33" s="2">
        <v>0</v>
      </c>
      <c r="C33" s="2">
        <v>0</v>
      </c>
      <c r="D33" s="2">
        <v>0</v>
      </c>
      <c r="E33" s="2">
        <v>61</v>
      </c>
      <c r="F33" s="19"/>
      <c r="G33" s="19"/>
      <c r="H33" s="73">
        <f>B33/$B$5</f>
        <v>0</v>
      </c>
      <c r="I33" s="73">
        <f t="shared" ref="I33" si="11">C33/$B$5</f>
        <v>0</v>
      </c>
      <c r="J33" s="73">
        <f t="shared" ref="J33" si="12">D33/$B$5</f>
        <v>0</v>
      </c>
      <c r="K33" s="73">
        <f t="shared" ref="K33" si="13">E33/$B$5</f>
        <v>1</v>
      </c>
      <c r="L33" s="74">
        <f>SUM(H33:K33)</f>
        <v>1</v>
      </c>
      <c r="N33" s="75">
        <f t="shared" ref="N33:N35" si="14">H33*6+I33*12+J33*18+K33*24</f>
        <v>24</v>
      </c>
    </row>
    <row r="34" spans="1:21" s="8" customFormat="1" x14ac:dyDescent="0.25">
      <c r="A34" s="8" t="s">
        <v>99</v>
      </c>
      <c r="B34" s="2">
        <v>0</v>
      </c>
      <c r="C34" s="2">
        <v>0</v>
      </c>
      <c r="D34" s="2">
        <v>3</v>
      </c>
      <c r="E34" s="2">
        <v>3</v>
      </c>
      <c r="F34" s="19"/>
      <c r="G34" s="19"/>
      <c r="H34" s="73">
        <f>B34/$B$6</f>
        <v>0</v>
      </c>
      <c r="I34" s="73">
        <f t="shared" ref="I34" si="15">C34/$B$6</f>
        <v>0</v>
      </c>
      <c r="J34" s="73">
        <f t="shared" ref="J34" si="16">D34/$B$6</f>
        <v>0.5</v>
      </c>
      <c r="K34" s="73">
        <f t="shared" ref="K34" si="17">E34/$B$6</f>
        <v>0.5</v>
      </c>
      <c r="L34" s="74">
        <f t="shared" ref="L34:L35" si="18">SUM(H34:K34)</f>
        <v>1</v>
      </c>
      <c r="N34" s="75">
        <f t="shared" si="14"/>
        <v>21</v>
      </c>
    </row>
    <row r="35" spans="1:21" s="8" customFormat="1" x14ac:dyDescent="0.25">
      <c r="A35" s="8" t="s">
        <v>100</v>
      </c>
      <c r="B35" s="2">
        <v>0</v>
      </c>
      <c r="C35" s="2">
        <v>4</v>
      </c>
      <c r="D35" s="2">
        <v>7</v>
      </c>
      <c r="E35" s="2">
        <v>7</v>
      </c>
      <c r="F35" s="19"/>
      <c r="G35" s="19"/>
      <c r="H35" s="73">
        <f>B35/$B$7</f>
        <v>0</v>
      </c>
      <c r="I35" s="73">
        <f t="shared" ref="I35" si="19">C35/$B$7</f>
        <v>0.22222222222222221</v>
      </c>
      <c r="J35" s="73">
        <f t="shared" ref="J35" si="20">D35/$B$7</f>
        <v>0.3888888888888889</v>
      </c>
      <c r="K35" s="73">
        <f t="shared" ref="K35" si="21">E35/$B$7</f>
        <v>0.3888888888888889</v>
      </c>
      <c r="L35" s="74">
        <f t="shared" si="18"/>
        <v>1</v>
      </c>
      <c r="N35" s="75">
        <f t="shared" si="14"/>
        <v>19</v>
      </c>
    </row>
    <row r="36" spans="1:21" s="8" customFormat="1" x14ac:dyDescent="0.25">
      <c r="F36" s="19"/>
      <c r="G36" s="19"/>
      <c r="H36" s="73"/>
      <c r="I36" s="73"/>
      <c r="J36" s="73"/>
      <c r="K36" s="73"/>
      <c r="L36" s="74"/>
      <c r="N36" s="77">
        <f>(SUM(B33:B35)*6+SUM(C33:C35)*12+SUM(D33:D35)*18+SUM(E33:E35)*24)/SUM(B33:E35)</f>
        <v>22.729411764705883</v>
      </c>
    </row>
    <row r="37" spans="1:21" s="8" customFormat="1" x14ac:dyDescent="0.25">
      <c r="F37" s="19"/>
      <c r="G37" s="19"/>
      <c r="H37" s="19"/>
      <c r="I37" s="19"/>
      <c r="J37" s="19"/>
      <c r="K37" s="19"/>
      <c r="L37" s="19"/>
    </row>
    <row r="38" spans="1:21" s="8" customFormat="1" x14ac:dyDescent="0.25">
      <c r="A38" s="19" t="s">
        <v>106</v>
      </c>
      <c r="B38" s="19" t="s">
        <v>101</v>
      </c>
      <c r="C38" s="19" t="s">
        <v>102</v>
      </c>
      <c r="D38" s="19" t="s">
        <v>103</v>
      </c>
      <c r="E38" s="19" t="s">
        <v>104</v>
      </c>
      <c r="F38" s="19"/>
      <c r="G38" s="19"/>
      <c r="H38" s="19" t="s">
        <v>101</v>
      </c>
      <c r="I38" s="19" t="s">
        <v>102</v>
      </c>
      <c r="J38" s="19" t="s">
        <v>103</v>
      </c>
      <c r="K38" s="19" t="s">
        <v>104</v>
      </c>
      <c r="L38" s="72" t="s">
        <v>105</v>
      </c>
    </row>
    <row r="39" spans="1:21" s="8" customFormat="1" x14ac:dyDescent="0.25">
      <c r="A39" s="8" t="s">
        <v>98</v>
      </c>
      <c r="B39" s="2">
        <v>0</v>
      </c>
      <c r="C39" s="2">
        <v>0</v>
      </c>
      <c r="D39" s="2">
        <v>0</v>
      </c>
      <c r="E39" s="2">
        <v>49</v>
      </c>
      <c r="F39" s="19"/>
      <c r="G39" s="19"/>
      <c r="H39" s="73">
        <f>B39/$C$5</f>
        <v>0</v>
      </c>
      <c r="I39" s="73">
        <f t="shared" ref="I39" si="22">C39/$C$5</f>
        <v>0</v>
      </c>
      <c r="J39" s="73">
        <f t="shared" ref="J39" si="23">D39/$C$5</f>
        <v>0</v>
      </c>
      <c r="K39" s="73">
        <f t="shared" ref="K39" si="24">E39/$C$5</f>
        <v>1</v>
      </c>
      <c r="L39" s="74">
        <f>SUM(H39:K39)</f>
        <v>1</v>
      </c>
      <c r="N39" s="75">
        <f t="shared" ref="N39:N40" si="25">H39*6+I39*12+J39*18+K39*24</f>
        <v>24</v>
      </c>
    </row>
    <row r="40" spans="1:21" s="8" customFormat="1" x14ac:dyDescent="0.25">
      <c r="A40" s="8" t="s">
        <v>99</v>
      </c>
      <c r="B40" s="2">
        <v>0</v>
      </c>
      <c r="C40" s="2">
        <v>0</v>
      </c>
      <c r="D40" s="2">
        <v>15</v>
      </c>
      <c r="E40" s="2">
        <v>14</v>
      </c>
      <c r="F40" s="19"/>
      <c r="G40" s="19"/>
      <c r="H40" s="73">
        <f>B40/$C$6</f>
        <v>0</v>
      </c>
      <c r="I40" s="73">
        <f t="shared" ref="I40" si="26">C40/$C$6</f>
        <v>0</v>
      </c>
      <c r="J40" s="73">
        <f t="shared" ref="J40" si="27">D40/$C$6</f>
        <v>0.51724137931034486</v>
      </c>
      <c r="K40" s="73">
        <f t="shared" ref="K40" si="28">E40/$C$6</f>
        <v>0.48275862068965519</v>
      </c>
      <c r="L40" s="74">
        <f>SUM(H40:K40)</f>
        <v>1</v>
      </c>
      <c r="N40" s="75">
        <f t="shared" si="25"/>
        <v>20.896551724137932</v>
      </c>
    </row>
    <row r="41" spans="1:21" s="8" customFormat="1" x14ac:dyDescent="0.25">
      <c r="F41" s="19"/>
      <c r="G41" s="19"/>
      <c r="H41" s="73"/>
      <c r="I41" s="73"/>
      <c r="J41" s="73"/>
      <c r="K41" s="73"/>
      <c r="L41" s="74"/>
      <c r="N41" s="77">
        <f>(SUM(B39:B40)*6+SUM(C39:C40)*12+SUM(D39:D40)*18+SUM(E39:E40)*24)/SUM(B39:E40)</f>
        <v>22.846153846153847</v>
      </c>
    </row>
    <row r="42" spans="1:21" s="8" customFormat="1" x14ac:dyDescent="0.25">
      <c r="F42" s="19"/>
      <c r="G42" s="19"/>
      <c r="H42" s="73"/>
      <c r="I42" s="73"/>
      <c r="J42" s="73"/>
      <c r="K42" s="73"/>
      <c r="L42" s="74"/>
    </row>
    <row r="43" spans="1:21" s="8" customFormat="1" x14ac:dyDescent="0.25">
      <c r="A43" s="19" t="s">
        <v>108</v>
      </c>
      <c r="B43" s="2">
        <v>5</v>
      </c>
      <c r="F43" s="19"/>
      <c r="G43" s="19"/>
      <c r="H43" s="73"/>
      <c r="I43" s="73"/>
      <c r="J43" s="73"/>
      <c r="K43" s="73"/>
      <c r="L43" s="74"/>
    </row>
    <row r="44" spans="1:21" s="8" customFormat="1" x14ac:dyDescent="0.25">
      <c r="A44" s="19"/>
      <c r="F44" s="19"/>
      <c r="G44" s="19"/>
      <c r="H44" s="73"/>
      <c r="I44" s="73"/>
      <c r="J44" s="73"/>
      <c r="K44" s="73"/>
      <c r="L44" s="74"/>
    </row>
    <row r="45" spans="1:21" s="8" customFormat="1" x14ac:dyDescent="0.25">
      <c r="A45" s="19"/>
      <c r="B45" s="119" t="s">
        <v>1</v>
      </c>
      <c r="C45" s="119"/>
      <c r="D45" s="119"/>
      <c r="E45" s="119"/>
      <c r="F45" s="119"/>
      <c r="G45" s="119"/>
      <c r="H45" s="120"/>
      <c r="I45" s="120"/>
      <c r="J45" s="120"/>
      <c r="K45" s="120"/>
      <c r="L45" s="121"/>
      <c r="M45" s="119"/>
      <c r="N45" s="119"/>
      <c r="O45" s="119"/>
      <c r="P45" s="119"/>
      <c r="Q45" s="119"/>
      <c r="R45" s="119"/>
      <c r="S45" s="119"/>
      <c r="T45" s="119"/>
      <c r="U45" s="119"/>
    </row>
    <row r="46" spans="1:21" s="8" customFormat="1" x14ac:dyDescent="0.25">
      <c r="A46" s="19" t="s">
        <v>119</v>
      </c>
      <c r="B46" s="119">
        <v>1</v>
      </c>
      <c r="C46" s="119">
        <v>2</v>
      </c>
      <c r="D46" s="119">
        <v>3</v>
      </c>
      <c r="E46" s="119">
        <v>4</v>
      </c>
      <c r="F46" s="119">
        <v>5</v>
      </c>
      <c r="G46" s="119">
        <v>6</v>
      </c>
      <c r="H46" s="119">
        <v>7</v>
      </c>
      <c r="I46" s="119">
        <v>8</v>
      </c>
      <c r="J46" s="119">
        <v>9</v>
      </c>
      <c r="K46" s="119">
        <v>10</v>
      </c>
      <c r="L46" s="119">
        <v>11</v>
      </c>
      <c r="M46" s="119">
        <v>12</v>
      </c>
      <c r="N46" s="119">
        <v>13</v>
      </c>
      <c r="O46" s="119">
        <v>14</v>
      </c>
      <c r="P46" s="119">
        <v>15</v>
      </c>
      <c r="Q46" s="119">
        <v>16</v>
      </c>
      <c r="R46" s="119">
        <v>17</v>
      </c>
      <c r="S46" s="119">
        <v>18</v>
      </c>
      <c r="T46" s="119">
        <v>19</v>
      </c>
      <c r="U46" s="119">
        <v>20</v>
      </c>
    </row>
    <row r="47" spans="1:21" s="8" customFormat="1" x14ac:dyDescent="0.25">
      <c r="A47" s="19" t="s">
        <v>97</v>
      </c>
      <c r="F47" s="19"/>
      <c r="G47" s="19"/>
      <c r="H47" s="73"/>
      <c r="I47" s="73"/>
      <c r="J47" s="73"/>
      <c r="K47" s="73"/>
      <c r="L47" s="74"/>
    </row>
    <row r="48" spans="1:21" s="8" customFormat="1" x14ac:dyDescent="0.25">
      <c r="A48" s="8" t="s">
        <v>98</v>
      </c>
      <c r="B48" s="75">
        <f>IF(B$46=1,$N21,IF(B$46&lt;=$B$43,$N21+(B$46-1)/($B$43-1)*($N33-$N21),IF(B$46&gt;$B$43,$N33,"ERROR")))</f>
        <v>21.934426229508198</v>
      </c>
      <c r="C48" s="75">
        <f t="shared" ref="C48:F48" si="29">IF(C$46=1,$N21,IF(C$46&lt;=$B$43,$N21+(C$46-1)/($B$43-1)*($N33-$N21),IF(C$46&gt;$B$43,$N33,"ERROR")))</f>
        <v>22.450819672131146</v>
      </c>
      <c r="D48" s="75">
        <f t="shared" si="29"/>
        <v>22.967213114754099</v>
      </c>
      <c r="E48" s="75">
        <f t="shared" si="29"/>
        <v>23.483606557377051</v>
      </c>
      <c r="F48" s="75">
        <f t="shared" si="29"/>
        <v>24</v>
      </c>
      <c r="G48" s="75">
        <f>IF(G$46=1,$N21,IF(G$46&lt;=$B$43,$N21+(G$46-1)/($B$43-1)*($N33-$N21),IF(G$46&gt;$B$43,$N33,"ERROR")))</f>
        <v>24</v>
      </c>
      <c r="H48" s="75">
        <f t="shared" ref="H48:U48" si="30">IF(H$46=1,$N21,IF(H$46&lt;=$B$43,$N21+(H$46-1)/($B$43-1)*($N33-$N21),IF(H$46&gt;$B$43,$N33,"ERROR")))</f>
        <v>24</v>
      </c>
      <c r="I48" s="75">
        <f t="shared" si="30"/>
        <v>24</v>
      </c>
      <c r="J48" s="75">
        <f t="shared" si="30"/>
        <v>24</v>
      </c>
      <c r="K48" s="75">
        <f t="shared" si="30"/>
        <v>24</v>
      </c>
      <c r="L48" s="75">
        <f t="shared" si="30"/>
        <v>24</v>
      </c>
      <c r="M48" s="75">
        <f t="shared" si="30"/>
        <v>24</v>
      </c>
      <c r="N48" s="75">
        <f t="shared" si="30"/>
        <v>24</v>
      </c>
      <c r="O48" s="75">
        <f t="shared" si="30"/>
        <v>24</v>
      </c>
      <c r="P48" s="75">
        <f t="shared" si="30"/>
        <v>24</v>
      </c>
      <c r="Q48" s="75">
        <f t="shared" si="30"/>
        <v>24</v>
      </c>
      <c r="R48" s="75">
        <f t="shared" si="30"/>
        <v>24</v>
      </c>
      <c r="S48" s="75">
        <f t="shared" si="30"/>
        <v>24</v>
      </c>
      <c r="T48" s="75">
        <f t="shared" si="30"/>
        <v>24</v>
      </c>
      <c r="U48" s="75">
        <f t="shared" si="30"/>
        <v>24</v>
      </c>
    </row>
    <row r="49" spans="1:21" s="8" customFormat="1" x14ac:dyDescent="0.25">
      <c r="A49" s="8" t="s">
        <v>99</v>
      </c>
      <c r="B49" s="75">
        <f>IF(B$46=1,$N22,IF(B$46&lt;=$B$43,$N22+(B$46-1)/($B$43-1)*($N34-$N22),IF(B$46&gt;$B$43,$N34,"ERROR")))</f>
        <v>15</v>
      </c>
      <c r="C49" s="75">
        <f t="shared" ref="C49:F50" si="31">IF(C$46=1,$N22,IF(C$46&lt;=$B$43,$N22+(C$46-1)/($B$43-1)*($N34-$N22),IF(C$46&gt;$B$43,$N34,"ERROR")))</f>
        <v>16.5</v>
      </c>
      <c r="D49" s="75">
        <f t="shared" si="31"/>
        <v>18</v>
      </c>
      <c r="E49" s="75">
        <f t="shared" si="31"/>
        <v>19.5</v>
      </c>
      <c r="F49" s="75">
        <f t="shared" si="31"/>
        <v>21</v>
      </c>
      <c r="G49" s="75">
        <f t="shared" ref="G49:L49" si="32">IF(G$46=1,$N22,IF(G$46&lt;=$B$43,$N22+(G$46-1)/($B$43-1)*($N34-$N22),IF(G$46&gt;$B$43,$N34,"ERROR")))</f>
        <v>21</v>
      </c>
      <c r="H49" s="75">
        <f t="shared" si="32"/>
        <v>21</v>
      </c>
      <c r="I49" s="75">
        <f t="shared" si="32"/>
        <v>21</v>
      </c>
      <c r="J49" s="75">
        <f t="shared" si="32"/>
        <v>21</v>
      </c>
      <c r="K49" s="75">
        <f t="shared" si="32"/>
        <v>21</v>
      </c>
      <c r="L49" s="75">
        <f t="shared" si="32"/>
        <v>21</v>
      </c>
      <c r="M49" s="75">
        <f t="shared" ref="M49:U49" si="33">IF(M$46=1,$N22,IF(M$46&lt;=$B$43,$N22+(M$46-1)/($B$43-1)*($N34-$N22),IF(M$46&gt;$B$43,$N34,"ERROR")))</f>
        <v>21</v>
      </c>
      <c r="N49" s="75">
        <f t="shared" si="33"/>
        <v>21</v>
      </c>
      <c r="O49" s="75">
        <f t="shared" si="33"/>
        <v>21</v>
      </c>
      <c r="P49" s="75">
        <f t="shared" si="33"/>
        <v>21</v>
      </c>
      <c r="Q49" s="75">
        <f t="shared" si="33"/>
        <v>21</v>
      </c>
      <c r="R49" s="75">
        <f t="shared" si="33"/>
        <v>21</v>
      </c>
      <c r="S49" s="75">
        <f t="shared" si="33"/>
        <v>21</v>
      </c>
      <c r="T49" s="75">
        <f t="shared" si="33"/>
        <v>21</v>
      </c>
      <c r="U49" s="75">
        <f t="shared" si="33"/>
        <v>21</v>
      </c>
    </row>
    <row r="50" spans="1:21" s="8" customFormat="1" x14ac:dyDescent="0.25">
      <c r="A50" s="8" t="s">
        <v>100</v>
      </c>
      <c r="B50" s="75">
        <f>IF(B$46=1,$N23,IF(B$46&lt;=$B$43,$N23+(B$46-1)/($B$43-1)*($N35-$N23),IF(B$46&gt;$B$43,$N35,"ERROR")))</f>
        <v>12</v>
      </c>
      <c r="C50" s="75">
        <f t="shared" si="31"/>
        <v>13.75</v>
      </c>
      <c r="D50" s="75">
        <f t="shared" si="31"/>
        <v>15.5</v>
      </c>
      <c r="E50" s="75">
        <f t="shared" si="31"/>
        <v>17.25</v>
      </c>
      <c r="F50" s="75">
        <f t="shared" si="31"/>
        <v>19</v>
      </c>
      <c r="G50" s="75">
        <f t="shared" ref="G50:L50" si="34">IF(G$46=1,$N23,IF(G$46&lt;=$B$43,$N23+(G$46-1)/($B$43-1)*($N35-$N23),IF(G$46&gt;$B$43,$N35,"ERROR")))</f>
        <v>19</v>
      </c>
      <c r="H50" s="75">
        <f t="shared" si="34"/>
        <v>19</v>
      </c>
      <c r="I50" s="75">
        <f t="shared" si="34"/>
        <v>19</v>
      </c>
      <c r="J50" s="75">
        <f t="shared" si="34"/>
        <v>19</v>
      </c>
      <c r="K50" s="75">
        <f t="shared" si="34"/>
        <v>19</v>
      </c>
      <c r="L50" s="75">
        <f t="shared" si="34"/>
        <v>19</v>
      </c>
      <c r="M50" s="75">
        <f t="shared" ref="M50:U50" si="35">IF(M$46=1,$N23,IF(M$46&lt;=$B$43,$N23+(M$46-1)/($B$43-1)*($N35-$N23),IF(M$46&gt;$B$43,$N35,"ERROR")))</f>
        <v>19</v>
      </c>
      <c r="N50" s="75">
        <f t="shared" si="35"/>
        <v>19</v>
      </c>
      <c r="O50" s="75">
        <f t="shared" si="35"/>
        <v>19</v>
      </c>
      <c r="P50" s="75">
        <f t="shared" si="35"/>
        <v>19</v>
      </c>
      <c r="Q50" s="75">
        <f t="shared" si="35"/>
        <v>19</v>
      </c>
      <c r="R50" s="75">
        <f t="shared" si="35"/>
        <v>19</v>
      </c>
      <c r="S50" s="75">
        <f t="shared" si="35"/>
        <v>19</v>
      </c>
      <c r="T50" s="75">
        <f t="shared" si="35"/>
        <v>19</v>
      </c>
      <c r="U50" s="75">
        <f t="shared" si="35"/>
        <v>19</v>
      </c>
    </row>
    <row r="51" spans="1:21" s="8" customFormat="1" x14ac:dyDescent="0.25">
      <c r="A51" s="19"/>
      <c r="B51" s="75"/>
      <c r="F51" s="19"/>
      <c r="G51" s="19"/>
      <c r="H51" s="73"/>
      <c r="I51" s="73"/>
      <c r="J51" s="73"/>
      <c r="K51" s="73"/>
      <c r="L51" s="74"/>
    </row>
    <row r="52" spans="1:21" s="8" customFormat="1" x14ac:dyDescent="0.25">
      <c r="A52" s="19" t="s">
        <v>106</v>
      </c>
      <c r="B52" s="75"/>
      <c r="F52" s="19"/>
      <c r="G52" s="19"/>
      <c r="H52" s="73"/>
      <c r="I52" s="73"/>
      <c r="J52" s="73"/>
      <c r="K52" s="73"/>
      <c r="L52" s="74"/>
    </row>
    <row r="53" spans="1:21" s="8" customFormat="1" x14ac:dyDescent="0.25">
      <c r="A53" s="8" t="s">
        <v>98</v>
      </c>
      <c r="B53" s="75">
        <f t="shared" ref="B53:F54" si="36">IF(B$46=1,$N27,IF(B$46&lt;=$B$43,$N27+(B$46-1)/($B$43-1)*($N39-$N27),IF(B$46&gt;$B$43,$N39,"ERROR")))</f>
        <v>22.04081632653061</v>
      </c>
      <c r="C53" s="75">
        <f t="shared" si="36"/>
        <v>22.530612244897959</v>
      </c>
      <c r="D53" s="75">
        <f t="shared" si="36"/>
        <v>23.020408163265305</v>
      </c>
      <c r="E53" s="75">
        <f t="shared" si="36"/>
        <v>23.510204081632651</v>
      </c>
      <c r="F53" s="75">
        <f t="shared" si="36"/>
        <v>24</v>
      </c>
      <c r="G53" s="75">
        <f t="shared" ref="G53:U53" si="37">IF(G$46=1,$N27,IF(G$46&lt;=$B$43,$N27+(G$46-1)/($B$43-1)*($N39-$N27),IF(G$46&gt;$B$43,$N39,"ERROR")))</f>
        <v>24</v>
      </c>
      <c r="H53" s="75">
        <f t="shared" si="37"/>
        <v>24</v>
      </c>
      <c r="I53" s="75">
        <f t="shared" si="37"/>
        <v>24</v>
      </c>
      <c r="J53" s="75">
        <f t="shared" si="37"/>
        <v>24</v>
      </c>
      <c r="K53" s="75">
        <f t="shared" si="37"/>
        <v>24</v>
      </c>
      <c r="L53" s="75">
        <f t="shared" si="37"/>
        <v>24</v>
      </c>
      <c r="M53" s="75">
        <f t="shared" si="37"/>
        <v>24</v>
      </c>
      <c r="N53" s="75">
        <f t="shared" si="37"/>
        <v>24</v>
      </c>
      <c r="O53" s="75">
        <f t="shared" si="37"/>
        <v>24</v>
      </c>
      <c r="P53" s="75">
        <f t="shared" si="37"/>
        <v>24</v>
      </c>
      <c r="Q53" s="75">
        <f t="shared" si="37"/>
        <v>24</v>
      </c>
      <c r="R53" s="75">
        <f t="shared" si="37"/>
        <v>24</v>
      </c>
      <c r="S53" s="75">
        <f t="shared" si="37"/>
        <v>24</v>
      </c>
      <c r="T53" s="75">
        <f t="shared" si="37"/>
        <v>24</v>
      </c>
      <c r="U53" s="75">
        <f t="shared" si="37"/>
        <v>24</v>
      </c>
    </row>
    <row r="54" spans="1:21" s="8" customFormat="1" x14ac:dyDescent="0.25">
      <c r="A54" s="8" t="s">
        <v>99</v>
      </c>
      <c r="B54" s="75">
        <f t="shared" si="36"/>
        <v>14.896551724137932</v>
      </c>
      <c r="C54" s="75">
        <f t="shared" si="36"/>
        <v>16.396551724137932</v>
      </c>
      <c r="D54" s="75">
        <f t="shared" si="36"/>
        <v>17.896551724137932</v>
      </c>
      <c r="E54" s="75">
        <f t="shared" si="36"/>
        <v>19.396551724137932</v>
      </c>
      <c r="F54" s="75">
        <f t="shared" si="36"/>
        <v>20.896551724137932</v>
      </c>
      <c r="G54" s="75">
        <f t="shared" ref="G54:U54" si="38">IF(G$46=1,$N28,IF(G$46&lt;=$B$43,$N28+(G$46-1)/($B$43-1)*($N40-$N28),IF(G$46&gt;$B$43,$N40,"ERROR")))</f>
        <v>20.896551724137932</v>
      </c>
      <c r="H54" s="75">
        <f t="shared" si="38"/>
        <v>20.896551724137932</v>
      </c>
      <c r="I54" s="75">
        <f t="shared" si="38"/>
        <v>20.896551724137932</v>
      </c>
      <c r="J54" s="75">
        <f t="shared" si="38"/>
        <v>20.896551724137932</v>
      </c>
      <c r="K54" s="75">
        <f t="shared" si="38"/>
        <v>20.896551724137932</v>
      </c>
      <c r="L54" s="75">
        <f t="shared" si="38"/>
        <v>20.896551724137932</v>
      </c>
      <c r="M54" s="75">
        <f t="shared" si="38"/>
        <v>20.896551724137932</v>
      </c>
      <c r="N54" s="75">
        <f t="shared" si="38"/>
        <v>20.896551724137932</v>
      </c>
      <c r="O54" s="75">
        <f t="shared" si="38"/>
        <v>20.896551724137932</v>
      </c>
      <c r="P54" s="75">
        <f t="shared" si="38"/>
        <v>20.896551724137932</v>
      </c>
      <c r="Q54" s="75">
        <f t="shared" si="38"/>
        <v>20.896551724137932</v>
      </c>
      <c r="R54" s="75">
        <f t="shared" si="38"/>
        <v>20.896551724137932</v>
      </c>
      <c r="S54" s="75">
        <f t="shared" si="38"/>
        <v>20.896551724137932</v>
      </c>
      <c r="T54" s="75">
        <f t="shared" si="38"/>
        <v>20.896551724137932</v>
      </c>
      <c r="U54" s="75">
        <f t="shared" si="38"/>
        <v>20.896551724137932</v>
      </c>
    </row>
    <row r="55" spans="1:21" s="8" customFormat="1" x14ac:dyDescent="0.25">
      <c r="B55" s="19"/>
      <c r="C55" s="19"/>
      <c r="D55" s="19"/>
      <c r="E55" s="19"/>
      <c r="F55" s="19"/>
      <c r="G55" s="19"/>
    </row>
    <row r="56" spans="1:21" x14ac:dyDescent="0.25">
      <c r="A56" s="46" t="s">
        <v>74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8" spans="1:21" x14ac:dyDescent="0.25">
      <c r="A58" s="5" t="s">
        <v>73</v>
      </c>
      <c r="B58" s="2">
        <v>174</v>
      </c>
    </row>
    <row r="59" spans="1:21" x14ac:dyDescent="0.25">
      <c r="A59" s="5" t="s">
        <v>35</v>
      </c>
      <c r="B59" s="2">
        <v>120</v>
      </c>
    </row>
    <row r="60" spans="1:21" x14ac:dyDescent="0.25">
      <c r="A60" s="5" t="s">
        <v>36</v>
      </c>
      <c r="B60" s="2">
        <v>1063</v>
      </c>
    </row>
    <row r="61" spans="1:21" x14ac:dyDescent="0.25">
      <c r="A61" s="5" t="s">
        <v>37</v>
      </c>
      <c r="B61" s="2">
        <v>768</v>
      </c>
    </row>
    <row r="62" spans="1:21" x14ac:dyDescent="0.25">
      <c r="A62" s="5" t="s">
        <v>38</v>
      </c>
      <c r="B62" s="2">
        <v>3528</v>
      </c>
    </row>
    <row r="63" spans="1:21" x14ac:dyDescent="0.25">
      <c r="A63" s="5" t="s">
        <v>39</v>
      </c>
      <c r="B63" s="2">
        <v>80</v>
      </c>
    </row>
    <row r="64" spans="1:21" x14ac:dyDescent="0.25">
      <c r="A64" t="s">
        <v>34</v>
      </c>
    </row>
    <row r="66" spans="1:4" x14ac:dyDescent="0.25">
      <c r="B66" s="103" t="s">
        <v>4</v>
      </c>
    </row>
    <row r="67" spans="1:4" x14ac:dyDescent="0.25">
      <c r="A67" s="5" t="s">
        <v>40</v>
      </c>
      <c r="B67" s="71">
        <f>B59+(B60*B63)/1000+B61+(B62*B63)/1000</f>
        <v>1255.28</v>
      </c>
    </row>
    <row r="68" spans="1:4" x14ac:dyDescent="0.25">
      <c r="B68" s="103" t="s">
        <v>42</v>
      </c>
    </row>
    <row r="69" spans="1:4" x14ac:dyDescent="0.25">
      <c r="A69" s="5" t="s">
        <v>112</v>
      </c>
      <c r="B69" s="18">
        <f>B67/B58*1000</f>
        <v>7214.2528735632186</v>
      </c>
    </row>
    <row r="71" spans="1:4" x14ac:dyDescent="0.25">
      <c r="A71" s="5" t="s">
        <v>67</v>
      </c>
    </row>
    <row r="72" spans="1:4" x14ac:dyDescent="0.25">
      <c r="A72" s="5" t="s">
        <v>28</v>
      </c>
      <c r="B72" s="2">
        <v>0.3</v>
      </c>
    </row>
    <row r="73" spans="1:4" x14ac:dyDescent="0.25">
      <c r="A73" s="5" t="s">
        <v>43</v>
      </c>
      <c r="B73">
        <v>1</v>
      </c>
    </row>
    <row r="74" spans="1:4" x14ac:dyDescent="0.25">
      <c r="A74" s="5" t="s">
        <v>30</v>
      </c>
      <c r="B74" s="2">
        <v>1.6</v>
      </c>
    </row>
    <row r="76" spans="1:4" x14ac:dyDescent="0.25">
      <c r="A76" s="5" t="s">
        <v>202</v>
      </c>
      <c r="B76" s="70"/>
      <c r="C76" s="70"/>
      <c r="D76" s="70"/>
    </row>
    <row r="77" spans="1:4" x14ac:dyDescent="0.25">
      <c r="A77" s="5" t="s">
        <v>28</v>
      </c>
      <c r="B77" s="18">
        <f>$B$69*($B72/($B$72*$J$12+$B$73*$J$13+$B$74*$J$14))</f>
        <v>3329.655172413793</v>
      </c>
      <c r="C77" s="18"/>
      <c r="D77" s="18"/>
    </row>
    <row r="78" spans="1:4" x14ac:dyDescent="0.25">
      <c r="A78" s="5" t="s">
        <v>43</v>
      </c>
      <c r="B78" s="18">
        <f>$B$69*($B73/($B$72*$J$12+$B$73*$J$13+$B$74*$J$14))</f>
        <v>11098.850574712644</v>
      </c>
      <c r="C78" s="18"/>
      <c r="D78" s="18"/>
    </row>
    <row r="79" spans="1:4" x14ac:dyDescent="0.25">
      <c r="A79" s="5" t="s">
        <v>30</v>
      </c>
      <c r="B79" s="18">
        <f>$B$69*($B74/($B$72*$J$12+$B$73*$J$13+$B$74*$J$14))</f>
        <v>17758.160919540231</v>
      </c>
      <c r="C79" s="18"/>
      <c r="D79" s="18"/>
    </row>
    <row r="81" spans="1:21" x14ac:dyDescent="0.25">
      <c r="A81" s="26" t="s">
        <v>114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1:21" x14ac:dyDescent="0.25">
      <c r="A82" s="26" t="s">
        <v>115</v>
      </c>
      <c r="B82" s="26"/>
      <c r="C82" s="28"/>
      <c r="D82" s="28"/>
      <c r="E82" s="28"/>
      <c r="F82" s="28"/>
      <c r="G82" s="29"/>
      <c r="H82" s="28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:21" x14ac:dyDescent="0.25">
      <c r="A83" s="26"/>
      <c r="B83" s="26" t="s">
        <v>1</v>
      </c>
      <c r="C83" s="28"/>
      <c r="D83" s="28"/>
      <c r="E83" s="28"/>
      <c r="F83" s="28"/>
      <c r="G83" s="29"/>
      <c r="H83" s="28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:21" x14ac:dyDescent="0.25">
      <c r="A84" s="26" t="s">
        <v>117</v>
      </c>
      <c r="B84" s="122">
        <v>1</v>
      </c>
      <c r="C84" s="122">
        <v>2</v>
      </c>
      <c r="D84" s="122">
        <v>3</v>
      </c>
      <c r="E84" s="122">
        <v>4</v>
      </c>
      <c r="F84" s="122">
        <v>5</v>
      </c>
      <c r="G84" s="122">
        <v>6</v>
      </c>
      <c r="H84" s="122">
        <v>7</v>
      </c>
      <c r="I84" s="122">
        <v>8</v>
      </c>
      <c r="J84" s="122">
        <v>9</v>
      </c>
      <c r="K84" s="122">
        <v>10</v>
      </c>
      <c r="L84" s="122">
        <v>11</v>
      </c>
      <c r="M84" s="122">
        <v>12</v>
      </c>
      <c r="N84" s="122">
        <v>13</v>
      </c>
      <c r="O84" s="122">
        <v>14</v>
      </c>
      <c r="P84" s="122">
        <v>15</v>
      </c>
      <c r="Q84" s="122">
        <v>16</v>
      </c>
      <c r="R84" s="122">
        <v>17</v>
      </c>
      <c r="S84" s="122">
        <v>18</v>
      </c>
      <c r="T84" s="122">
        <v>19</v>
      </c>
      <c r="U84" s="122">
        <v>20</v>
      </c>
    </row>
    <row r="85" spans="1:21" x14ac:dyDescent="0.25">
      <c r="A85" s="26" t="s">
        <v>28</v>
      </c>
      <c r="B85" s="28">
        <f t="shared" ref="B85:U85" si="39">($B5/$J$10*$B$58)*$B77/1000</f>
        <v>168.29028571428572</v>
      </c>
      <c r="C85" s="28">
        <f t="shared" si="39"/>
        <v>168.29028571428572</v>
      </c>
      <c r="D85" s="28">
        <f t="shared" si="39"/>
        <v>168.29028571428572</v>
      </c>
      <c r="E85" s="28">
        <f t="shared" si="39"/>
        <v>168.29028571428572</v>
      </c>
      <c r="F85" s="28">
        <f t="shared" si="39"/>
        <v>168.29028571428572</v>
      </c>
      <c r="G85" s="28">
        <f t="shared" si="39"/>
        <v>168.29028571428572</v>
      </c>
      <c r="H85" s="28">
        <f t="shared" si="39"/>
        <v>168.29028571428572</v>
      </c>
      <c r="I85" s="28">
        <f t="shared" si="39"/>
        <v>168.29028571428572</v>
      </c>
      <c r="J85" s="28">
        <f t="shared" si="39"/>
        <v>168.29028571428572</v>
      </c>
      <c r="K85" s="28">
        <f t="shared" si="39"/>
        <v>168.29028571428572</v>
      </c>
      <c r="L85" s="28">
        <f t="shared" si="39"/>
        <v>168.29028571428572</v>
      </c>
      <c r="M85" s="28">
        <f t="shared" si="39"/>
        <v>168.29028571428572</v>
      </c>
      <c r="N85" s="28">
        <f t="shared" si="39"/>
        <v>168.29028571428572</v>
      </c>
      <c r="O85" s="28">
        <f t="shared" si="39"/>
        <v>168.29028571428572</v>
      </c>
      <c r="P85" s="28">
        <f t="shared" si="39"/>
        <v>168.29028571428572</v>
      </c>
      <c r="Q85" s="28">
        <f t="shared" si="39"/>
        <v>168.29028571428572</v>
      </c>
      <c r="R85" s="28">
        <f t="shared" si="39"/>
        <v>168.29028571428572</v>
      </c>
      <c r="S85" s="28">
        <f t="shared" si="39"/>
        <v>168.29028571428572</v>
      </c>
      <c r="T85" s="28">
        <f t="shared" si="39"/>
        <v>168.29028571428572</v>
      </c>
      <c r="U85" s="28">
        <f t="shared" si="39"/>
        <v>168.29028571428572</v>
      </c>
    </row>
    <row r="86" spans="1:21" x14ac:dyDescent="0.25">
      <c r="A86" s="26" t="s">
        <v>29</v>
      </c>
      <c r="B86" s="28">
        <f t="shared" ref="B86:U86" si="40">($B6/$J$10*$B$58)*$B78/1000</f>
        <v>55.177142857142854</v>
      </c>
      <c r="C86" s="28">
        <f t="shared" si="40"/>
        <v>55.177142857142854</v>
      </c>
      <c r="D86" s="28">
        <f t="shared" si="40"/>
        <v>55.177142857142854</v>
      </c>
      <c r="E86" s="28">
        <f t="shared" si="40"/>
        <v>55.177142857142854</v>
      </c>
      <c r="F86" s="28">
        <f t="shared" si="40"/>
        <v>55.177142857142854</v>
      </c>
      <c r="G86" s="28">
        <f t="shared" si="40"/>
        <v>55.177142857142854</v>
      </c>
      <c r="H86" s="28">
        <f t="shared" si="40"/>
        <v>55.177142857142854</v>
      </c>
      <c r="I86" s="28">
        <f t="shared" si="40"/>
        <v>55.177142857142854</v>
      </c>
      <c r="J86" s="28">
        <f t="shared" si="40"/>
        <v>55.177142857142854</v>
      </c>
      <c r="K86" s="28">
        <f t="shared" si="40"/>
        <v>55.177142857142854</v>
      </c>
      <c r="L86" s="28">
        <f t="shared" si="40"/>
        <v>55.177142857142854</v>
      </c>
      <c r="M86" s="28">
        <f t="shared" si="40"/>
        <v>55.177142857142854</v>
      </c>
      <c r="N86" s="28">
        <f t="shared" si="40"/>
        <v>55.177142857142854</v>
      </c>
      <c r="O86" s="28">
        <f t="shared" si="40"/>
        <v>55.177142857142854</v>
      </c>
      <c r="P86" s="28">
        <f t="shared" si="40"/>
        <v>55.177142857142854</v>
      </c>
      <c r="Q86" s="28">
        <f t="shared" si="40"/>
        <v>55.177142857142854</v>
      </c>
      <c r="R86" s="28">
        <f t="shared" si="40"/>
        <v>55.177142857142854</v>
      </c>
      <c r="S86" s="28">
        <f t="shared" si="40"/>
        <v>55.177142857142854</v>
      </c>
      <c r="T86" s="28">
        <f t="shared" si="40"/>
        <v>55.177142857142854</v>
      </c>
      <c r="U86" s="28">
        <f t="shared" si="40"/>
        <v>55.177142857142854</v>
      </c>
    </row>
    <row r="87" spans="1:21" x14ac:dyDescent="0.25">
      <c r="A87" s="26" t="s">
        <v>30</v>
      </c>
      <c r="B87" s="28">
        <f t="shared" ref="B87:U87" si="41">($B7/$J$10*$B$58)*$B79/1000</f>
        <v>264.85028571428575</v>
      </c>
      <c r="C87" s="28">
        <f t="shared" si="41"/>
        <v>264.85028571428575</v>
      </c>
      <c r="D87" s="28">
        <f t="shared" si="41"/>
        <v>264.85028571428575</v>
      </c>
      <c r="E87" s="28">
        <f t="shared" si="41"/>
        <v>264.85028571428575</v>
      </c>
      <c r="F87" s="28">
        <f t="shared" si="41"/>
        <v>264.85028571428575</v>
      </c>
      <c r="G87" s="28">
        <f t="shared" si="41"/>
        <v>264.85028571428575</v>
      </c>
      <c r="H87" s="28">
        <f t="shared" si="41"/>
        <v>264.85028571428575</v>
      </c>
      <c r="I87" s="28">
        <f t="shared" si="41"/>
        <v>264.85028571428575</v>
      </c>
      <c r="J87" s="28">
        <f t="shared" si="41"/>
        <v>264.85028571428575</v>
      </c>
      <c r="K87" s="28">
        <f t="shared" si="41"/>
        <v>264.85028571428575</v>
      </c>
      <c r="L87" s="28">
        <f t="shared" si="41"/>
        <v>264.85028571428575</v>
      </c>
      <c r="M87" s="28">
        <f t="shared" si="41"/>
        <v>264.85028571428575</v>
      </c>
      <c r="N87" s="28">
        <f t="shared" si="41"/>
        <v>264.85028571428575</v>
      </c>
      <c r="O87" s="28">
        <f t="shared" si="41"/>
        <v>264.85028571428575</v>
      </c>
      <c r="P87" s="28">
        <f t="shared" si="41"/>
        <v>264.85028571428575</v>
      </c>
      <c r="Q87" s="28">
        <f t="shared" si="41"/>
        <v>264.85028571428575</v>
      </c>
      <c r="R87" s="28">
        <f t="shared" si="41"/>
        <v>264.85028571428575</v>
      </c>
      <c r="S87" s="28">
        <f t="shared" si="41"/>
        <v>264.85028571428575</v>
      </c>
      <c r="T87" s="28">
        <f t="shared" si="41"/>
        <v>264.85028571428575</v>
      </c>
      <c r="U87" s="28">
        <f t="shared" si="41"/>
        <v>264.85028571428575</v>
      </c>
    </row>
    <row r="88" spans="1:21" x14ac:dyDescent="0.25">
      <c r="A88" s="26"/>
      <c r="B88" s="26"/>
      <c r="C88" s="28"/>
      <c r="D88" s="28"/>
      <c r="E88" s="28"/>
      <c r="F88" s="28"/>
      <c r="G88" s="29"/>
      <c r="H88" s="28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 x14ac:dyDescent="0.25">
      <c r="A89" s="26"/>
      <c r="B89" s="26" t="s">
        <v>1</v>
      </c>
      <c r="C89" s="26"/>
      <c r="D89" s="28"/>
      <c r="E89" s="28"/>
      <c r="F89" s="28"/>
      <c r="G89" s="29"/>
      <c r="H89" s="28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 x14ac:dyDescent="0.25">
      <c r="A90" s="26" t="s">
        <v>20</v>
      </c>
      <c r="B90" s="122">
        <v>1</v>
      </c>
      <c r="C90" s="122">
        <v>2</v>
      </c>
      <c r="D90" s="122">
        <v>3</v>
      </c>
      <c r="E90" s="122">
        <v>4</v>
      </c>
      <c r="F90" s="122">
        <v>5</v>
      </c>
      <c r="G90" s="122">
        <v>6</v>
      </c>
      <c r="H90" s="122">
        <v>7</v>
      </c>
      <c r="I90" s="122">
        <v>8</v>
      </c>
      <c r="J90" s="122">
        <v>9</v>
      </c>
      <c r="K90" s="122">
        <v>10</v>
      </c>
      <c r="L90" s="122">
        <v>11</v>
      </c>
      <c r="M90" s="122">
        <v>12</v>
      </c>
      <c r="N90" s="122">
        <v>13</v>
      </c>
      <c r="O90" s="122">
        <v>14</v>
      </c>
      <c r="P90" s="122">
        <v>15</v>
      </c>
      <c r="Q90" s="122">
        <v>16</v>
      </c>
      <c r="R90" s="122">
        <v>17</v>
      </c>
      <c r="S90" s="122">
        <v>18</v>
      </c>
      <c r="T90" s="122">
        <v>19</v>
      </c>
      <c r="U90" s="122">
        <v>20</v>
      </c>
    </row>
    <row r="91" spans="1:21" x14ac:dyDescent="0.25">
      <c r="A91" s="26" t="s">
        <v>28</v>
      </c>
      <c r="B91" s="28">
        <f t="shared" ref="B91:U91" si="42">($C5/$J$10*$B$58)*$B77/1000</f>
        <v>135.184</v>
      </c>
      <c r="C91" s="28">
        <f t="shared" si="42"/>
        <v>135.184</v>
      </c>
      <c r="D91" s="28">
        <f t="shared" si="42"/>
        <v>135.184</v>
      </c>
      <c r="E91" s="28">
        <f t="shared" si="42"/>
        <v>135.184</v>
      </c>
      <c r="F91" s="28">
        <f t="shared" si="42"/>
        <v>135.184</v>
      </c>
      <c r="G91" s="28">
        <f t="shared" si="42"/>
        <v>135.184</v>
      </c>
      <c r="H91" s="28">
        <f t="shared" si="42"/>
        <v>135.184</v>
      </c>
      <c r="I91" s="28">
        <f t="shared" si="42"/>
        <v>135.184</v>
      </c>
      <c r="J91" s="28">
        <f t="shared" si="42"/>
        <v>135.184</v>
      </c>
      <c r="K91" s="28">
        <f t="shared" si="42"/>
        <v>135.184</v>
      </c>
      <c r="L91" s="28">
        <f t="shared" si="42"/>
        <v>135.184</v>
      </c>
      <c r="M91" s="28">
        <f t="shared" si="42"/>
        <v>135.184</v>
      </c>
      <c r="N91" s="28">
        <f t="shared" si="42"/>
        <v>135.184</v>
      </c>
      <c r="O91" s="28">
        <f t="shared" si="42"/>
        <v>135.184</v>
      </c>
      <c r="P91" s="28">
        <f t="shared" si="42"/>
        <v>135.184</v>
      </c>
      <c r="Q91" s="28">
        <f t="shared" si="42"/>
        <v>135.184</v>
      </c>
      <c r="R91" s="28">
        <f t="shared" si="42"/>
        <v>135.184</v>
      </c>
      <c r="S91" s="28">
        <f t="shared" si="42"/>
        <v>135.184</v>
      </c>
      <c r="T91" s="28">
        <f t="shared" si="42"/>
        <v>135.184</v>
      </c>
      <c r="U91" s="28">
        <f t="shared" si="42"/>
        <v>135.184</v>
      </c>
    </row>
    <row r="92" spans="1:21" x14ac:dyDescent="0.25">
      <c r="A92" s="26" t="s">
        <v>29</v>
      </c>
      <c r="B92" s="28">
        <f t="shared" ref="B92:U92" si="43">($C6/$J$10*$B$58)*$B78/1000</f>
        <v>266.68952380952379</v>
      </c>
      <c r="C92" s="28">
        <f t="shared" si="43"/>
        <v>266.68952380952379</v>
      </c>
      <c r="D92" s="28">
        <f t="shared" si="43"/>
        <v>266.68952380952379</v>
      </c>
      <c r="E92" s="28">
        <f t="shared" si="43"/>
        <v>266.68952380952379</v>
      </c>
      <c r="F92" s="28">
        <f t="shared" si="43"/>
        <v>266.68952380952379</v>
      </c>
      <c r="G92" s="28">
        <f t="shared" si="43"/>
        <v>266.68952380952379</v>
      </c>
      <c r="H92" s="28">
        <f t="shared" si="43"/>
        <v>266.68952380952379</v>
      </c>
      <c r="I92" s="28">
        <f t="shared" si="43"/>
        <v>266.68952380952379</v>
      </c>
      <c r="J92" s="28">
        <f t="shared" si="43"/>
        <v>266.68952380952379</v>
      </c>
      <c r="K92" s="28">
        <f t="shared" si="43"/>
        <v>266.68952380952379</v>
      </c>
      <c r="L92" s="28">
        <f t="shared" si="43"/>
        <v>266.68952380952379</v>
      </c>
      <c r="M92" s="28">
        <f t="shared" si="43"/>
        <v>266.68952380952379</v>
      </c>
      <c r="N92" s="28">
        <f t="shared" si="43"/>
        <v>266.68952380952379</v>
      </c>
      <c r="O92" s="28">
        <f t="shared" si="43"/>
        <v>266.68952380952379</v>
      </c>
      <c r="P92" s="28">
        <f t="shared" si="43"/>
        <v>266.68952380952379</v>
      </c>
      <c r="Q92" s="28">
        <f t="shared" si="43"/>
        <v>266.68952380952379</v>
      </c>
      <c r="R92" s="28">
        <f t="shared" si="43"/>
        <v>266.68952380952379</v>
      </c>
      <c r="S92" s="28">
        <f t="shared" si="43"/>
        <v>266.68952380952379</v>
      </c>
      <c r="T92" s="28">
        <f t="shared" si="43"/>
        <v>266.68952380952379</v>
      </c>
      <c r="U92" s="28">
        <f t="shared" si="43"/>
        <v>266.68952380952379</v>
      </c>
    </row>
    <row r="93" spans="1:21" x14ac:dyDescent="0.25">
      <c r="A93" s="26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1:21" x14ac:dyDescent="0.25">
      <c r="A94" s="26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1:21" x14ac:dyDescent="0.25">
      <c r="A95" s="26" t="s">
        <v>118</v>
      </c>
      <c r="B95" s="28">
        <f>SUM(B85:B87,B91:B92)</f>
        <v>890.19123809523808</v>
      </c>
      <c r="C95" s="28">
        <f t="shared" ref="C95:U95" si="44">SUM(C85:C87,C91:C92)</f>
        <v>890.19123809523808</v>
      </c>
      <c r="D95" s="28">
        <f t="shared" si="44"/>
        <v>890.19123809523808</v>
      </c>
      <c r="E95" s="28">
        <f t="shared" si="44"/>
        <v>890.19123809523808</v>
      </c>
      <c r="F95" s="28">
        <f t="shared" si="44"/>
        <v>890.19123809523808</v>
      </c>
      <c r="G95" s="28">
        <f t="shared" si="44"/>
        <v>890.19123809523808</v>
      </c>
      <c r="H95" s="28">
        <f t="shared" si="44"/>
        <v>890.19123809523808</v>
      </c>
      <c r="I95" s="28">
        <f t="shared" si="44"/>
        <v>890.19123809523808</v>
      </c>
      <c r="J95" s="28">
        <f t="shared" si="44"/>
        <v>890.19123809523808</v>
      </c>
      <c r="K95" s="28">
        <f t="shared" si="44"/>
        <v>890.19123809523808</v>
      </c>
      <c r="L95" s="28">
        <f t="shared" si="44"/>
        <v>890.19123809523808</v>
      </c>
      <c r="M95" s="28">
        <f t="shared" si="44"/>
        <v>890.19123809523808</v>
      </c>
      <c r="N95" s="28">
        <f t="shared" si="44"/>
        <v>890.19123809523808</v>
      </c>
      <c r="O95" s="28">
        <f t="shared" si="44"/>
        <v>890.19123809523808</v>
      </c>
      <c r="P95" s="28">
        <f t="shared" si="44"/>
        <v>890.19123809523808</v>
      </c>
      <c r="Q95" s="28">
        <f t="shared" si="44"/>
        <v>890.19123809523808</v>
      </c>
      <c r="R95" s="28">
        <f t="shared" si="44"/>
        <v>890.19123809523808</v>
      </c>
      <c r="S95" s="28">
        <f t="shared" si="44"/>
        <v>890.19123809523808</v>
      </c>
      <c r="T95" s="28">
        <f t="shared" si="44"/>
        <v>890.19123809523808</v>
      </c>
      <c r="U95" s="28">
        <f t="shared" si="44"/>
        <v>890.19123809523808</v>
      </c>
    </row>
    <row r="96" spans="1:21" x14ac:dyDescent="0.25">
      <c r="A96" s="26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1:21" x14ac:dyDescent="0.25">
      <c r="A97" s="5"/>
      <c r="B97" s="5"/>
      <c r="C97" s="5"/>
      <c r="D97" s="5"/>
      <c r="E97" s="5"/>
      <c r="F97" s="5"/>
      <c r="G97" s="5"/>
    </row>
    <row r="98" spans="1:21" x14ac:dyDescent="0.25">
      <c r="A98" s="26" t="s">
        <v>116</v>
      </c>
      <c r="B98" s="26"/>
      <c r="C98" s="26"/>
      <c r="D98" s="26"/>
      <c r="E98" s="26"/>
      <c r="F98" s="26"/>
      <c r="G98" s="26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26" t="s">
        <v>115</v>
      </c>
      <c r="B99" s="26"/>
      <c r="C99" s="26"/>
      <c r="D99" s="26"/>
      <c r="E99" s="26"/>
      <c r="F99" s="26"/>
      <c r="G99" s="26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26"/>
      <c r="B100" s="26" t="s">
        <v>1</v>
      </c>
      <c r="C100" s="26"/>
      <c r="D100" s="26"/>
      <c r="E100" s="26"/>
      <c r="F100" s="26"/>
      <c r="G100" s="26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26" t="s">
        <v>117</v>
      </c>
      <c r="B101" s="122">
        <v>1</v>
      </c>
      <c r="C101" s="122">
        <v>2</v>
      </c>
      <c r="D101" s="122">
        <v>3</v>
      </c>
      <c r="E101" s="122">
        <v>4</v>
      </c>
      <c r="F101" s="122">
        <v>5</v>
      </c>
      <c r="G101" s="122">
        <v>6</v>
      </c>
      <c r="H101" s="122">
        <v>7</v>
      </c>
      <c r="I101" s="122">
        <v>8</v>
      </c>
      <c r="J101" s="122">
        <v>9</v>
      </c>
      <c r="K101" s="122">
        <v>10</v>
      </c>
      <c r="L101" s="122">
        <v>11</v>
      </c>
      <c r="M101" s="122">
        <v>12</v>
      </c>
      <c r="N101" s="122">
        <v>13</v>
      </c>
      <c r="O101" s="122">
        <v>14</v>
      </c>
      <c r="P101" s="122">
        <v>15</v>
      </c>
      <c r="Q101" s="122">
        <v>16</v>
      </c>
      <c r="R101" s="122">
        <v>17</v>
      </c>
      <c r="S101" s="122">
        <v>18</v>
      </c>
      <c r="T101" s="122">
        <v>19</v>
      </c>
      <c r="U101" s="122">
        <v>20</v>
      </c>
    </row>
    <row r="102" spans="1:21" x14ac:dyDescent="0.25">
      <c r="A102" s="26" t="s">
        <v>28</v>
      </c>
      <c r="B102" s="28">
        <f t="shared" ref="B102:U102" si="45">(($B5/$J$10*$B$58)*$B77/1000)*12/B48</f>
        <v>92.069124919923127</v>
      </c>
      <c r="C102" s="28">
        <f t="shared" si="45"/>
        <v>89.95143420434988</v>
      </c>
      <c r="D102" s="28">
        <f t="shared" si="45"/>
        <v>87.928971550933014</v>
      </c>
      <c r="E102" s="28">
        <f t="shared" si="45"/>
        <v>85.995454899027678</v>
      </c>
      <c r="F102" s="28">
        <f t="shared" si="45"/>
        <v>84.145142857142858</v>
      </c>
      <c r="G102" s="28">
        <f t="shared" si="45"/>
        <v>84.145142857142858</v>
      </c>
      <c r="H102" s="28">
        <f t="shared" si="45"/>
        <v>84.145142857142858</v>
      </c>
      <c r="I102" s="28">
        <f t="shared" si="45"/>
        <v>84.145142857142858</v>
      </c>
      <c r="J102" s="28">
        <f t="shared" si="45"/>
        <v>84.145142857142858</v>
      </c>
      <c r="K102" s="28">
        <f t="shared" si="45"/>
        <v>84.145142857142858</v>
      </c>
      <c r="L102" s="28">
        <f t="shared" si="45"/>
        <v>84.145142857142858</v>
      </c>
      <c r="M102" s="28">
        <f t="shared" si="45"/>
        <v>84.145142857142858</v>
      </c>
      <c r="N102" s="28">
        <f t="shared" si="45"/>
        <v>84.145142857142858</v>
      </c>
      <c r="O102" s="28">
        <f t="shared" si="45"/>
        <v>84.145142857142858</v>
      </c>
      <c r="P102" s="28">
        <f t="shared" si="45"/>
        <v>84.145142857142858</v>
      </c>
      <c r="Q102" s="28">
        <f t="shared" si="45"/>
        <v>84.145142857142858</v>
      </c>
      <c r="R102" s="28">
        <f t="shared" si="45"/>
        <v>84.145142857142858</v>
      </c>
      <c r="S102" s="28">
        <f t="shared" si="45"/>
        <v>84.145142857142858</v>
      </c>
      <c r="T102" s="28">
        <f t="shared" si="45"/>
        <v>84.145142857142858</v>
      </c>
      <c r="U102" s="28">
        <f t="shared" si="45"/>
        <v>84.145142857142858</v>
      </c>
    </row>
    <row r="103" spans="1:21" x14ac:dyDescent="0.25">
      <c r="A103" s="26" t="s">
        <v>29</v>
      </c>
      <c r="B103" s="28">
        <f t="shared" ref="B103:U103" si="46">(($B6/$J$10*$B$58)*$B78/1000)*12/B49</f>
        <v>44.141714285714286</v>
      </c>
      <c r="C103" s="28">
        <f t="shared" si="46"/>
        <v>40.128831168831169</v>
      </c>
      <c r="D103" s="28">
        <f t="shared" si="46"/>
        <v>36.784761904761901</v>
      </c>
      <c r="E103" s="28">
        <f t="shared" si="46"/>
        <v>33.955164835164837</v>
      </c>
      <c r="F103" s="28">
        <f t="shared" si="46"/>
        <v>31.529795918367345</v>
      </c>
      <c r="G103" s="28">
        <f t="shared" si="46"/>
        <v>31.529795918367345</v>
      </c>
      <c r="H103" s="28">
        <f t="shared" si="46"/>
        <v>31.529795918367345</v>
      </c>
      <c r="I103" s="28">
        <f t="shared" si="46"/>
        <v>31.529795918367345</v>
      </c>
      <c r="J103" s="28">
        <f t="shared" si="46"/>
        <v>31.529795918367345</v>
      </c>
      <c r="K103" s="28">
        <f t="shared" si="46"/>
        <v>31.529795918367345</v>
      </c>
      <c r="L103" s="28">
        <f t="shared" si="46"/>
        <v>31.529795918367345</v>
      </c>
      <c r="M103" s="28">
        <f t="shared" si="46"/>
        <v>31.529795918367345</v>
      </c>
      <c r="N103" s="28">
        <f t="shared" si="46"/>
        <v>31.529795918367345</v>
      </c>
      <c r="O103" s="28">
        <f t="shared" si="46"/>
        <v>31.529795918367345</v>
      </c>
      <c r="P103" s="28">
        <f t="shared" si="46"/>
        <v>31.529795918367345</v>
      </c>
      <c r="Q103" s="28">
        <f t="shared" si="46"/>
        <v>31.529795918367345</v>
      </c>
      <c r="R103" s="28">
        <f t="shared" si="46"/>
        <v>31.529795918367345</v>
      </c>
      <c r="S103" s="28">
        <f t="shared" si="46"/>
        <v>31.529795918367345</v>
      </c>
      <c r="T103" s="28">
        <f t="shared" si="46"/>
        <v>31.529795918367345</v>
      </c>
      <c r="U103" s="28">
        <f t="shared" si="46"/>
        <v>31.529795918367345</v>
      </c>
    </row>
    <row r="104" spans="1:21" x14ac:dyDescent="0.25">
      <c r="A104" s="26" t="s">
        <v>30</v>
      </c>
      <c r="B104" s="28">
        <f t="shared" ref="B104:U104" si="47">(($B7/$J$10*$B$58)*$B79/1000)*12/B50</f>
        <v>264.85028571428575</v>
      </c>
      <c r="C104" s="28">
        <f t="shared" si="47"/>
        <v>231.14206753246756</v>
      </c>
      <c r="D104" s="28">
        <f t="shared" si="47"/>
        <v>205.04538248847928</v>
      </c>
      <c r="E104" s="28">
        <f t="shared" si="47"/>
        <v>184.24367701863358</v>
      </c>
      <c r="F104" s="28">
        <f t="shared" si="47"/>
        <v>167.27386466165416</v>
      </c>
      <c r="G104" s="28">
        <f t="shared" si="47"/>
        <v>167.27386466165416</v>
      </c>
      <c r="H104" s="28">
        <f t="shared" si="47"/>
        <v>167.27386466165416</v>
      </c>
      <c r="I104" s="28">
        <f t="shared" si="47"/>
        <v>167.27386466165416</v>
      </c>
      <c r="J104" s="28">
        <f t="shared" si="47"/>
        <v>167.27386466165416</v>
      </c>
      <c r="K104" s="28">
        <f t="shared" si="47"/>
        <v>167.27386466165416</v>
      </c>
      <c r="L104" s="28">
        <f t="shared" si="47"/>
        <v>167.27386466165416</v>
      </c>
      <c r="M104" s="28">
        <f t="shared" si="47"/>
        <v>167.27386466165416</v>
      </c>
      <c r="N104" s="28">
        <f t="shared" si="47"/>
        <v>167.27386466165416</v>
      </c>
      <c r="O104" s="28">
        <f t="shared" si="47"/>
        <v>167.27386466165416</v>
      </c>
      <c r="P104" s="28">
        <f t="shared" si="47"/>
        <v>167.27386466165416</v>
      </c>
      <c r="Q104" s="28">
        <f t="shared" si="47"/>
        <v>167.27386466165416</v>
      </c>
      <c r="R104" s="28">
        <f t="shared" si="47"/>
        <v>167.27386466165416</v>
      </c>
      <c r="S104" s="28">
        <f t="shared" si="47"/>
        <v>167.27386466165416</v>
      </c>
      <c r="T104" s="28">
        <f t="shared" si="47"/>
        <v>167.27386466165416</v>
      </c>
      <c r="U104" s="28">
        <f t="shared" si="47"/>
        <v>167.27386466165416</v>
      </c>
    </row>
    <row r="105" spans="1:21" x14ac:dyDescent="0.25">
      <c r="A105" s="26"/>
      <c r="B105" s="26"/>
      <c r="C105" s="26"/>
      <c r="D105" s="26"/>
      <c r="E105" s="26"/>
      <c r="F105" s="26"/>
      <c r="G105" s="26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26"/>
      <c r="B106" s="26" t="s">
        <v>1</v>
      </c>
      <c r="C106" s="26"/>
      <c r="D106" s="26"/>
      <c r="E106" s="26"/>
      <c r="F106" s="26"/>
      <c r="G106" s="26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26" t="s">
        <v>20</v>
      </c>
      <c r="B107" s="122">
        <v>1</v>
      </c>
      <c r="C107" s="122">
        <v>2</v>
      </c>
      <c r="D107" s="122">
        <v>3</v>
      </c>
      <c r="E107" s="122">
        <v>4</v>
      </c>
      <c r="F107" s="122">
        <v>5</v>
      </c>
      <c r="G107" s="122">
        <v>6</v>
      </c>
      <c r="H107" s="122">
        <v>7</v>
      </c>
      <c r="I107" s="122">
        <v>8</v>
      </c>
      <c r="J107" s="122">
        <v>9</v>
      </c>
      <c r="K107" s="122">
        <v>10</v>
      </c>
      <c r="L107" s="122">
        <v>11</v>
      </c>
      <c r="M107" s="122">
        <v>12</v>
      </c>
      <c r="N107" s="122">
        <v>13</v>
      </c>
      <c r="O107" s="122">
        <v>14</v>
      </c>
      <c r="P107" s="122">
        <v>15</v>
      </c>
      <c r="Q107" s="122">
        <v>16</v>
      </c>
      <c r="R107" s="122">
        <v>17</v>
      </c>
      <c r="S107" s="122">
        <v>18</v>
      </c>
      <c r="T107" s="122">
        <v>19</v>
      </c>
      <c r="U107" s="122">
        <v>20</v>
      </c>
    </row>
    <row r="108" spans="1:21" x14ac:dyDescent="0.25">
      <c r="A108" s="26" t="s">
        <v>28</v>
      </c>
      <c r="B108" s="28">
        <f t="shared" ref="B108:U108" si="48">(($C5/$J$10*$B$58)*$B77/1000)*12/B53</f>
        <v>73.600177777777787</v>
      </c>
      <c r="C108" s="28">
        <f t="shared" si="48"/>
        <v>72.000173913043483</v>
      </c>
      <c r="D108" s="28">
        <f t="shared" si="48"/>
        <v>70.468255319148938</v>
      </c>
      <c r="E108" s="28">
        <f t="shared" si="48"/>
        <v>69.000166666666672</v>
      </c>
      <c r="F108" s="28">
        <f t="shared" si="48"/>
        <v>67.591999999999999</v>
      </c>
      <c r="G108" s="28">
        <f t="shared" si="48"/>
        <v>67.591999999999999</v>
      </c>
      <c r="H108" s="28">
        <f t="shared" si="48"/>
        <v>67.591999999999999</v>
      </c>
      <c r="I108" s="28">
        <f t="shared" si="48"/>
        <v>67.591999999999999</v>
      </c>
      <c r="J108" s="28">
        <f t="shared" si="48"/>
        <v>67.591999999999999</v>
      </c>
      <c r="K108" s="28">
        <f t="shared" si="48"/>
        <v>67.591999999999999</v>
      </c>
      <c r="L108" s="28">
        <f t="shared" si="48"/>
        <v>67.591999999999999</v>
      </c>
      <c r="M108" s="28">
        <f t="shared" si="48"/>
        <v>67.591999999999999</v>
      </c>
      <c r="N108" s="28">
        <f t="shared" si="48"/>
        <v>67.591999999999999</v>
      </c>
      <c r="O108" s="28">
        <f t="shared" si="48"/>
        <v>67.591999999999999</v>
      </c>
      <c r="P108" s="28">
        <f t="shared" si="48"/>
        <v>67.591999999999999</v>
      </c>
      <c r="Q108" s="28">
        <f t="shared" si="48"/>
        <v>67.591999999999999</v>
      </c>
      <c r="R108" s="28">
        <f t="shared" si="48"/>
        <v>67.591999999999999</v>
      </c>
      <c r="S108" s="28">
        <f t="shared" si="48"/>
        <v>67.591999999999999</v>
      </c>
      <c r="T108" s="28">
        <f t="shared" si="48"/>
        <v>67.591999999999999</v>
      </c>
      <c r="U108" s="28">
        <f t="shared" si="48"/>
        <v>67.591999999999999</v>
      </c>
    </row>
    <row r="109" spans="1:21" x14ac:dyDescent="0.25">
      <c r="A109" s="26" t="s">
        <v>29</v>
      </c>
      <c r="B109" s="28">
        <f t="shared" ref="B109:U109" si="49">(($C6/$J$10*$B$58)*$B78/1000)*12/B54</f>
        <v>214.83322751322748</v>
      </c>
      <c r="C109" s="28">
        <f t="shared" si="49"/>
        <v>195.17971458614991</v>
      </c>
      <c r="D109" s="28">
        <f t="shared" si="49"/>
        <v>178.82072116707954</v>
      </c>
      <c r="E109" s="28">
        <f t="shared" si="49"/>
        <v>164.99191873015872</v>
      </c>
      <c r="F109" s="28">
        <f t="shared" si="49"/>
        <v>153.14843941537009</v>
      </c>
      <c r="G109" s="28">
        <f t="shared" si="49"/>
        <v>153.14843941537009</v>
      </c>
      <c r="H109" s="28">
        <f t="shared" si="49"/>
        <v>153.14843941537009</v>
      </c>
      <c r="I109" s="28">
        <f t="shared" si="49"/>
        <v>153.14843941537009</v>
      </c>
      <c r="J109" s="28">
        <f t="shared" si="49"/>
        <v>153.14843941537009</v>
      </c>
      <c r="K109" s="28">
        <f t="shared" si="49"/>
        <v>153.14843941537009</v>
      </c>
      <c r="L109" s="28">
        <f t="shared" si="49"/>
        <v>153.14843941537009</v>
      </c>
      <c r="M109" s="28">
        <f t="shared" si="49"/>
        <v>153.14843941537009</v>
      </c>
      <c r="N109" s="28">
        <f t="shared" si="49"/>
        <v>153.14843941537009</v>
      </c>
      <c r="O109" s="28">
        <f t="shared" si="49"/>
        <v>153.14843941537009</v>
      </c>
      <c r="P109" s="28">
        <f t="shared" si="49"/>
        <v>153.14843941537009</v>
      </c>
      <c r="Q109" s="28">
        <f t="shared" si="49"/>
        <v>153.14843941537009</v>
      </c>
      <c r="R109" s="28">
        <f t="shared" si="49"/>
        <v>153.14843941537009</v>
      </c>
      <c r="S109" s="28">
        <f t="shared" si="49"/>
        <v>153.14843941537009</v>
      </c>
      <c r="T109" s="28">
        <f t="shared" si="49"/>
        <v>153.14843941537009</v>
      </c>
      <c r="U109" s="28">
        <f t="shared" si="49"/>
        <v>153.14843941537009</v>
      </c>
    </row>
    <row r="110" spans="1:21" x14ac:dyDescent="0.25">
      <c r="A110" s="26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1:21" x14ac:dyDescent="0.25">
      <c r="A111" s="26" t="s">
        <v>118</v>
      </c>
      <c r="B111" s="28">
        <f>SUM(B102:B104,B108:B109)</f>
        <v>689.49453021092836</v>
      </c>
      <c r="C111" s="28">
        <f t="shared" ref="C111:U111" si="50">SUM(C102:C104,C108:C109)</f>
        <v>628.40222140484195</v>
      </c>
      <c r="D111" s="28">
        <f t="shared" si="50"/>
        <v>579.04809243040268</v>
      </c>
      <c r="E111" s="28">
        <f t="shared" si="50"/>
        <v>538.18638214965154</v>
      </c>
      <c r="F111" s="28">
        <f t="shared" si="50"/>
        <v>503.68924285253445</v>
      </c>
      <c r="G111" s="28">
        <f t="shared" si="50"/>
        <v>503.68924285253445</v>
      </c>
      <c r="H111" s="28">
        <f t="shared" si="50"/>
        <v>503.68924285253445</v>
      </c>
      <c r="I111" s="28">
        <f t="shared" si="50"/>
        <v>503.68924285253445</v>
      </c>
      <c r="J111" s="28">
        <f t="shared" si="50"/>
        <v>503.68924285253445</v>
      </c>
      <c r="K111" s="28">
        <f t="shared" si="50"/>
        <v>503.68924285253445</v>
      </c>
      <c r="L111" s="28">
        <f t="shared" si="50"/>
        <v>503.68924285253445</v>
      </c>
      <c r="M111" s="28">
        <f t="shared" si="50"/>
        <v>503.68924285253445</v>
      </c>
      <c r="N111" s="28">
        <f t="shared" si="50"/>
        <v>503.68924285253445</v>
      </c>
      <c r="O111" s="28">
        <f t="shared" si="50"/>
        <v>503.68924285253445</v>
      </c>
      <c r="P111" s="28">
        <f t="shared" si="50"/>
        <v>503.68924285253445</v>
      </c>
      <c r="Q111" s="28">
        <f t="shared" si="50"/>
        <v>503.68924285253445</v>
      </c>
      <c r="R111" s="28">
        <f t="shared" si="50"/>
        <v>503.68924285253445</v>
      </c>
      <c r="S111" s="28">
        <f t="shared" si="50"/>
        <v>503.68924285253445</v>
      </c>
      <c r="T111" s="28">
        <f t="shared" si="50"/>
        <v>503.68924285253445</v>
      </c>
      <c r="U111" s="28">
        <f t="shared" si="50"/>
        <v>503.68924285253445</v>
      </c>
    </row>
    <row r="112" spans="1:21" x14ac:dyDescent="0.25">
      <c r="A112" s="26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1:7" x14ac:dyDescent="0.25">
      <c r="A113" s="5"/>
      <c r="B113" s="5"/>
      <c r="C113" s="5"/>
      <c r="D113" s="5"/>
      <c r="E113" s="5"/>
      <c r="F113" s="5"/>
      <c r="G113" s="5"/>
    </row>
    <row r="114" spans="1:7" x14ac:dyDescent="0.25">
      <c r="A114" s="26"/>
      <c r="B114" s="142" t="s">
        <v>191</v>
      </c>
      <c r="C114" s="142"/>
      <c r="D114" s="142"/>
      <c r="E114" s="19"/>
      <c r="F114" s="19"/>
      <c r="G114" s="5"/>
    </row>
    <row r="115" spans="1:7" x14ac:dyDescent="0.25">
      <c r="A115" s="26"/>
      <c r="B115" s="124" t="s">
        <v>11</v>
      </c>
      <c r="C115" s="124" t="s">
        <v>12</v>
      </c>
      <c r="D115" s="124" t="s">
        <v>13</v>
      </c>
      <c r="E115" s="75"/>
      <c r="F115" s="8"/>
      <c r="G115" s="5"/>
    </row>
    <row r="116" spans="1:7" x14ac:dyDescent="0.25">
      <c r="A116" s="26"/>
      <c r="B116" s="123" t="s">
        <v>4</v>
      </c>
      <c r="C116" s="123" t="s">
        <v>4</v>
      </c>
      <c r="D116" s="123" t="s">
        <v>4</v>
      </c>
      <c r="E116" s="75"/>
      <c r="F116" s="8"/>
      <c r="G116" s="5"/>
    </row>
    <row r="117" spans="1:7" x14ac:dyDescent="0.25">
      <c r="A117" s="26" t="s">
        <v>70</v>
      </c>
      <c r="B117" s="28">
        <f>SUMPRODUCT($B95:F95,'disc rate calcs'!$F$4:J$4)</f>
        <v>3693.7114409773862</v>
      </c>
      <c r="C117" s="28">
        <f>SUMPRODUCT($B95:K95,'disc rate calcs'!$F$4:O$4)</f>
        <v>6207.5893823979268</v>
      </c>
      <c r="D117" s="28">
        <f>SUMPRODUCT($B95:U95,'disc rate calcs'!$F$4:Y$4)</f>
        <v>9082.9043610282733</v>
      </c>
      <c r="E117" s="75"/>
      <c r="F117" s="8"/>
      <c r="G117" s="5"/>
    </row>
    <row r="118" spans="1:7" x14ac:dyDescent="0.25">
      <c r="A118" s="26" t="s">
        <v>203</v>
      </c>
      <c r="B118" s="28">
        <f>SUMPRODUCT($B111:F111,'disc rate calcs'!$F$4:J$4)</f>
        <v>2468.4083246182286</v>
      </c>
      <c r="C118" s="28">
        <f>SUMPRODUCT($B111:K111,'disc rate calcs'!$F$4:O$4)</f>
        <v>3890.8142333161663</v>
      </c>
      <c r="D118" s="28">
        <f>SUMPRODUCT($B111:U111,'disc rate calcs'!$F$4:Y$4)</f>
        <v>5517.7289484595731</v>
      </c>
      <c r="E118" s="75"/>
      <c r="F118" s="75"/>
      <c r="G118" s="5"/>
    </row>
    <row r="119" spans="1:7" x14ac:dyDescent="0.25">
      <c r="A119" s="26" t="s">
        <v>51</v>
      </c>
      <c r="B119" s="42">
        <f>-(B118-B117)</f>
        <v>1225.3031163591577</v>
      </c>
      <c r="C119" s="42">
        <f t="shared" ref="C119:D119" si="51">-(C118-C117)</f>
        <v>2316.7751490817604</v>
      </c>
      <c r="D119" s="42">
        <f t="shared" si="51"/>
        <v>3565.1754125687003</v>
      </c>
      <c r="E119" s="91" t="s">
        <v>204</v>
      </c>
      <c r="G119" s="5"/>
    </row>
    <row r="120" spans="1:7" x14ac:dyDescent="0.25">
      <c r="A120" s="5"/>
      <c r="B120" s="5"/>
      <c r="C120" s="5"/>
      <c r="D120" s="5"/>
      <c r="E120" s="5"/>
      <c r="F120" s="5"/>
      <c r="G120" s="5"/>
    </row>
    <row r="121" spans="1:7" x14ac:dyDescent="0.25">
      <c r="A121" s="5"/>
      <c r="B121" s="5"/>
      <c r="C121" s="5"/>
      <c r="D121" s="5"/>
      <c r="E121" s="5"/>
      <c r="F121" s="5"/>
      <c r="G121" s="5"/>
    </row>
    <row r="122" spans="1:7" x14ac:dyDescent="0.25">
      <c r="A122" s="5"/>
      <c r="B122" s="5"/>
      <c r="C122" s="5"/>
      <c r="D122" s="5"/>
      <c r="E122" s="5"/>
      <c r="F122" s="5"/>
      <c r="G122" s="5"/>
    </row>
    <row r="123" spans="1:7" x14ac:dyDescent="0.25">
      <c r="A123" s="5"/>
      <c r="B123" s="5"/>
      <c r="C123" s="5"/>
      <c r="D123" s="5"/>
      <c r="E123" s="5"/>
      <c r="F123" s="5"/>
      <c r="G123" s="5"/>
    </row>
    <row r="124" spans="1:7" x14ac:dyDescent="0.25">
      <c r="A124" s="5"/>
      <c r="B124" s="5"/>
      <c r="C124" s="5"/>
      <c r="D124" s="5"/>
      <c r="E124" s="5"/>
      <c r="F124" s="5"/>
      <c r="G124" s="5"/>
    </row>
    <row r="125" spans="1:7" x14ac:dyDescent="0.25">
      <c r="A125" s="5"/>
      <c r="B125" s="5"/>
      <c r="C125" s="5"/>
      <c r="D125" s="5"/>
      <c r="E125" s="5"/>
      <c r="F125" s="5"/>
      <c r="G125" s="5"/>
    </row>
    <row r="126" spans="1:7" x14ac:dyDescent="0.25">
      <c r="A126" s="5"/>
      <c r="B126" s="5"/>
      <c r="C126" s="5"/>
      <c r="D126" s="5"/>
      <c r="E126" s="5"/>
      <c r="F126" s="5"/>
      <c r="G126" s="5"/>
    </row>
    <row r="127" spans="1:7" x14ac:dyDescent="0.25">
      <c r="A127" s="5"/>
      <c r="B127" s="5"/>
      <c r="C127" s="5"/>
      <c r="D127" s="5"/>
      <c r="E127" s="5"/>
      <c r="F127" s="5"/>
      <c r="G127" s="5"/>
    </row>
    <row r="128" spans="1:7" x14ac:dyDescent="0.25">
      <c r="A128" s="5"/>
      <c r="B128" s="5"/>
      <c r="C128" s="5"/>
      <c r="D128" s="5"/>
      <c r="E128" s="5"/>
      <c r="F128" s="5"/>
      <c r="G128" s="5"/>
    </row>
    <row r="129" spans="1:7" x14ac:dyDescent="0.25">
      <c r="A129" s="5"/>
      <c r="B129" s="5"/>
      <c r="C129" s="5"/>
      <c r="D129" s="5"/>
      <c r="E129" s="5"/>
      <c r="F129" s="5"/>
      <c r="G129" s="5"/>
    </row>
    <row r="130" spans="1:7" x14ac:dyDescent="0.25">
      <c r="A130" s="5"/>
      <c r="B130" s="5"/>
      <c r="C130" s="5"/>
      <c r="D130" s="5"/>
      <c r="E130" s="5"/>
      <c r="F130" s="5"/>
      <c r="G130" s="5"/>
    </row>
    <row r="131" spans="1:7" x14ac:dyDescent="0.25">
      <c r="A131" s="5"/>
      <c r="B131" s="5"/>
      <c r="C131" s="5"/>
      <c r="D131" s="5"/>
      <c r="E131" s="5"/>
      <c r="F131" s="5"/>
      <c r="G131" s="5"/>
    </row>
    <row r="132" spans="1:7" x14ac:dyDescent="0.25">
      <c r="A132" s="5"/>
      <c r="B132" s="5"/>
      <c r="C132" s="5"/>
      <c r="D132" s="5"/>
      <c r="E132" s="5"/>
      <c r="F132" s="5"/>
      <c r="G132" s="5"/>
    </row>
    <row r="133" spans="1:7" x14ac:dyDescent="0.25">
      <c r="A133" s="5"/>
      <c r="B133" s="5"/>
      <c r="C133" s="5"/>
      <c r="D133" s="5"/>
      <c r="E133" s="5"/>
      <c r="F133" s="5"/>
      <c r="G133" s="5"/>
    </row>
    <row r="134" spans="1:7" x14ac:dyDescent="0.25">
      <c r="A134" s="5"/>
      <c r="B134" s="5"/>
      <c r="C134" s="5"/>
      <c r="D134" s="5"/>
      <c r="E134" s="5"/>
      <c r="F134" s="5"/>
      <c r="G134" s="5"/>
    </row>
    <row r="135" spans="1:7" x14ac:dyDescent="0.25">
      <c r="A135" s="5"/>
      <c r="B135" s="5"/>
      <c r="C135" s="5"/>
      <c r="D135" s="5"/>
      <c r="E135" s="5"/>
      <c r="F135" s="5"/>
      <c r="G135" s="5"/>
    </row>
    <row r="136" spans="1:7" x14ac:dyDescent="0.25">
      <c r="A136" s="5"/>
      <c r="B136" s="5"/>
      <c r="C136" s="5"/>
      <c r="D136" s="5"/>
      <c r="E136" s="5"/>
      <c r="F136" s="5"/>
      <c r="G136" s="5"/>
    </row>
    <row r="137" spans="1:7" x14ac:dyDescent="0.25">
      <c r="A137" s="5"/>
      <c r="B137" s="5"/>
      <c r="C137" s="5"/>
      <c r="D137" s="5"/>
      <c r="E137" s="5"/>
      <c r="F137" s="5"/>
      <c r="G137" s="5"/>
    </row>
    <row r="138" spans="1:7" x14ac:dyDescent="0.25">
      <c r="A138" s="5"/>
      <c r="B138" s="5"/>
      <c r="C138" s="5"/>
      <c r="D138" s="5"/>
      <c r="E138" s="5"/>
      <c r="F138" s="5"/>
      <c r="G138" s="5"/>
    </row>
    <row r="139" spans="1:7" x14ac:dyDescent="0.25">
      <c r="A139" s="5"/>
      <c r="B139" s="5"/>
      <c r="C139" s="5"/>
      <c r="D139" s="5"/>
      <c r="E139" s="5"/>
      <c r="F139" s="5"/>
      <c r="G139" s="5"/>
    </row>
    <row r="140" spans="1:7" x14ac:dyDescent="0.25">
      <c r="A140" s="5"/>
      <c r="B140" s="5"/>
      <c r="C140" s="5"/>
      <c r="D140" s="5"/>
      <c r="E140" s="5"/>
      <c r="F140" s="5"/>
      <c r="G140" s="5"/>
    </row>
    <row r="141" spans="1:7" x14ac:dyDescent="0.25">
      <c r="A141" s="5"/>
      <c r="B141" s="5"/>
      <c r="C141" s="5"/>
      <c r="D141" s="5"/>
      <c r="E141" s="5"/>
      <c r="F141" s="5"/>
      <c r="G141" s="5"/>
    </row>
  </sheetData>
  <mergeCells count="1">
    <mergeCell ref="B114:D114"/>
  </mergeCells>
  <pageMargins left="0.7" right="0.7" top="0.75" bottom="0.75" header="0.3" footer="0.3"/>
  <pageSetup paperSize="8" scale="58" orientation="landscape" horizontalDpi="4294967293" verticalDpi="4294967293" r:id="rId1"/>
  <rowBreaks count="1" manualBreakCount="1">
    <brk id="8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view="pageBreakPreview" zoomScale="60" zoomScaleNormal="100" workbookViewId="0"/>
  </sheetViews>
  <sheetFormatPr defaultRowHeight="15" x14ac:dyDescent="0.25"/>
  <cols>
    <col min="1" max="1" width="56.42578125" customWidth="1"/>
  </cols>
  <sheetData>
    <row r="1" spans="1:21" x14ac:dyDescent="0.25">
      <c r="A1" s="46" t="s">
        <v>198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1" x14ac:dyDescent="0.25">
      <c r="B2" s="5" t="s">
        <v>25</v>
      </c>
      <c r="C2" s="5"/>
      <c r="D2" s="5"/>
      <c r="E2" s="5"/>
      <c r="F2" s="5"/>
      <c r="G2" s="5"/>
    </row>
    <row r="3" spans="1:21" x14ac:dyDescent="0.25">
      <c r="A3" s="5"/>
      <c r="B3" s="5" t="s">
        <v>23</v>
      </c>
      <c r="C3" s="5"/>
      <c r="D3" s="5"/>
      <c r="E3" s="5"/>
      <c r="G3" s="5"/>
      <c r="J3" s="5"/>
    </row>
    <row r="4" spans="1:21" x14ac:dyDescent="0.25">
      <c r="A4" s="5" t="s">
        <v>18</v>
      </c>
      <c r="B4" s="39">
        <v>65</v>
      </c>
      <c r="C4" s="5"/>
      <c r="D4" s="5"/>
      <c r="E4" s="5"/>
      <c r="G4" s="5"/>
      <c r="J4" s="5"/>
    </row>
    <row r="6" spans="1:21" x14ac:dyDescent="0.25">
      <c r="A6" s="5" t="s">
        <v>56</v>
      </c>
    </row>
    <row r="7" spans="1:21" x14ac:dyDescent="0.25">
      <c r="B7" s="5" t="s">
        <v>23</v>
      </c>
      <c r="G7" s="37"/>
      <c r="H7" s="45"/>
    </row>
    <row r="8" spans="1:21" s="5" customFormat="1" x14ac:dyDescent="0.25">
      <c r="A8" s="5" t="s">
        <v>1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  <c r="Q8" s="5">
        <v>16</v>
      </c>
      <c r="R8" s="5">
        <v>17</v>
      </c>
      <c r="S8" s="5">
        <v>18</v>
      </c>
      <c r="T8" s="5">
        <v>19</v>
      </c>
      <c r="U8" s="5">
        <v>20</v>
      </c>
    </row>
    <row r="9" spans="1:21" x14ac:dyDescent="0.25">
      <c r="A9" s="5" t="s">
        <v>57</v>
      </c>
      <c r="B9" s="4">
        <f>50%</f>
        <v>0.5</v>
      </c>
      <c r="C9" s="4">
        <v>0.25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</row>
    <row r="10" spans="1:21" x14ac:dyDescent="0.25">
      <c r="A10" s="5" t="s">
        <v>58</v>
      </c>
      <c r="B10" s="24">
        <f>1-B9</f>
        <v>0.5</v>
      </c>
      <c r="C10" s="24">
        <f t="shared" ref="C10:U10" si="0">1-C9</f>
        <v>0.75</v>
      </c>
      <c r="D10" s="24">
        <f t="shared" si="0"/>
        <v>1</v>
      </c>
      <c r="E10" s="24">
        <f t="shared" si="0"/>
        <v>1</v>
      </c>
      <c r="F10" s="24">
        <f t="shared" si="0"/>
        <v>1</v>
      </c>
      <c r="G10" s="24">
        <f t="shared" si="0"/>
        <v>1</v>
      </c>
      <c r="H10" s="24">
        <f t="shared" si="0"/>
        <v>1</v>
      </c>
      <c r="I10" s="24">
        <f t="shared" si="0"/>
        <v>1</v>
      </c>
      <c r="J10" s="24">
        <f t="shared" si="0"/>
        <v>1</v>
      </c>
      <c r="K10" s="24">
        <f t="shared" si="0"/>
        <v>1</v>
      </c>
      <c r="L10" s="24">
        <f t="shared" si="0"/>
        <v>1</v>
      </c>
      <c r="M10" s="24">
        <f t="shared" si="0"/>
        <v>1</v>
      </c>
      <c r="N10" s="24">
        <f t="shared" si="0"/>
        <v>1</v>
      </c>
      <c r="O10" s="24">
        <f t="shared" si="0"/>
        <v>1</v>
      </c>
      <c r="P10" s="24">
        <f t="shared" si="0"/>
        <v>1</v>
      </c>
      <c r="Q10" s="24">
        <f t="shared" si="0"/>
        <v>1</v>
      </c>
      <c r="R10" s="24">
        <f t="shared" si="0"/>
        <v>1</v>
      </c>
      <c r="S10" s="24">
        <f t="shared" si="0"/>
        <v>1</v>
      </c>
      <c r="T10" s="24">
        <f t="shared" si="0"/>
        <v>1</v>
      </c>
      <c r="U10" s="24">
        <f t="shared" si="0"/>
        <v>1</v>
      </c>
    </row>
    <row r="12" spans="1:21" x14ac:dyDescent="0.25">
      <c r="A12" s="5" t="s">
        <v>206</v>
      </c>
    </row>
    <row r="13" spans="1:21" x14ac:dyDescent="0.25">
      <c r="A13" s="30" t="s">
        <v>205</v>
      </c>
    </row>
    <row r="14" spans="1:21" x14ac:dyDescent="0.25">
      <c r="B14" s="5" t="s">
        <v>25</v>
      </c>
    </row>
    <row r="15" spans="1:21" x14ac:dyDescent="0.25">
      <c r="A15" s="5" t="s">
        <v>59</v>
      </c>
      <c r="B15" s="5" t="s">
        <v>23</v>
      </c>
    </row>
    <row r="16" spans="1:21" x14ac:dyDescent="0.25">
      <c r="A16" s="5" t="s">
        <v>57</v>
      </c>
      <c r="B16" s="2">
        <v>6</v>
      </c>
    </row>
    <row r="17" spans="1:21" x14ac:dyDescent="0.25">
      <c r="A17" s="5" t="s">
        <v>58</v>
      </c>
      <c r="B17" s="2">
        <v>24</v>
      </c>
    </row>
    <row r="19" spans="1:21" x14ac:dyDescent="0.25">
      <c r="A19" s="5" t="s">
        <v>33</v>
      </c>
      <c r="B19" s="103" t="s">
        <v>42</v>
      </c>
    </row>
    <row r="20" spans="1:21" x14ac:dyDescent="0.25">
      <c r="A20" s="5" t="s">
        <v>71</v>
      </c>
      <c r="B20" s="2">
        <f>AVERAGE(1100,2000)</f>
        <v>1550</v>
      </c>
    </row>
    <row r="22" spans="1:21" x14ac:dyDescent="0.25">
      <c r="A22" s="5" t="s">
        <v>63</v>
      </c>
      <c r="B22" s="7"/>
    </row>
    <row r="23" spans="1:21" x14ac:dyDescent="0.25">
      <c r="A23" s="5" t="s">
        <v>64</v>
      </c>
      <c r="B23" s="38">
        <v>1.3</v>
      </c>
    </row>
    <row r="24" spans="1:21" x14ac:dyDescent="0.25">
      <c r="A24" s="5" t="s">
        <v>65</v>
      </c>
      <c r="B24" s="31">
        <v>1</v>
      </c>
    </row>
    <row r="26" spans="1:21" x14ac:dyDescent="0.25">
      <c r="A26" s="5" t="s">
        <v>66</v>
      </c>
      <c r="B26" s="103" t="s">
        <v>42</v>
      </c>
    </row>
    <row r="27" spans="1:21" x14ac:dyDescent="0.25">
      <c r="A27" s="5" t="s">
        <v>57</v>
      </c>
      <c r="B27" s="18">
        <f>($B$20*B23)/($B$9*$B$23+$B$10*$B$24)</f>
        <v>1752.1739130434785</v>
      </c>
    </row>
    <row r="28" spans="1:21" x14ac:dyDescent="0.25">
      <c r="A28" s="5" t="s">
        <v>58</v>
      </c>
      <c r="B28" s="18">
        <f>($B$20*B24)/($B$9*$B$23+$B$10*$B$24)</f>
        <v>1347.8260869565217</v>
      </c>
    </row>
    <row r="30" spans="1:21" x14ac:dyDescent="0.25">
      <c r="A30" s="26" t="s">
        <v>207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x14ac:dyDescent="0.25">
      <c r="A31" s="26" t="s">
        <v>1</v>
      </c>
      <c r="B31" s="26">
        <v>1</v>
      </c>
      <c r="C31" s="26">
        <v>2</v>
      </c>
      <c r="D31" s="26">
        <v>3</v>
      </c>
      <c r="E31" s="26">
        <v>4</v>
      </c>
      <c r="F31" s="26">
        <v>5</v>
      </c>
      <c r="G31" s="26">
        <v>6</v>
      </c>
      <c r="H31" s="26">
        <v>7</v>
      </c>
      <c r="I31" s="26">
        <v>8</v>
      </c>
      <c r="J31" s="26">
        <v>9</v>
      </c>
      <c r="K31" s="26">
        <v>10</v>
      </c>
      <c r="L31" s="26">
        <v>11</v>
      </c>
      <c r="M31" s="26">
        <v>12</v>
      </c>
      <c r="N31" s="26">
        <v>13</v>
      </c>
      <c r="O31" s="26">
        <v>14</v>
      </c>
      <c r="P31" s="26">
        <v>15</v>
      </c>
      <c r="Q31" s="26">
        <v>16</v>
      </c>
      <c r="R31" s="26">
        <v>17</v>
      </c>
      <c r="S31" s="26">
        <v>18</v>
      </c>
      <c r="T31" s="26">
        <v>19</v>
      </c>
      <c r="U31" s="26">
        <v>20</v>
      </c>
    </row>
    <row r="32" spans="1:21" x14ac:dyDescent="0.25">
      <c r="A32" s="26" t="s">
        <v>70</v>
      </c>
      <c r="B32" s="40">
        <f>$B4*$B20/1000</f>
        <v>100.75</v>
      </c>
      <c r="C32" s="40">
        <f t="shared" ref="C32:U32" si="1">$B4*$B20/1000</f>
        <v>100.75</v>
      </c>
      <c r="D32" s="40">
        <f t="shared" si="1"/>
        <v>100.75</v>
      </c>
      <c r="E32" s="40">
        <f t="shared" si="1"/>
        <v>100.75</v>
      </c>
      <c r="F32" s="40">
        <f t="shared" si="1"/>
        <v>100.75</v>
      </c>
      <c r="G32" s="40">
        <f t="shared" si="1"/>
        <v>100.75</v>
      </c>
      <c r="H32" s="40">
        <f t="shared" si="1"/>
        <v>100.75</v>
      </c>
      <c r="I32" s="40">
        <f t="shared" si="1"/>
        <v>100.75</v>
      </c>
      <c r="J32" s="40">
        <f t="shared" si="1"/>
        <v>100.75</v>
      </c>
      <c r="K32" s="40">
        <f t="shared" si="1"/>
        <v>100.75</v>
      </c>
      <c r="L32" s="40">
        <f t="shared" si="1"/>
        <v>100.75</v>
      </c>
      <c r="M32" s="40">
        <f t="shared" si="1"/>
        <v>100.75</v>
      </c>
      <c r="N32" s="40">
        <f t="shared" si="1"/>
        <v>100.75</v>
      </c>
      <c r="O32" s="40">
        <f t="shared" si="1"/>
        <v>100.75</v>
      </c>
      <c r="P32" s="40">
        <f t="shared" si="1"/>
        <v>100.75</v>
      </c>
      <c r="Q32" s="40">
        <f t="shared" si="1"/>
        <v>100.75</v>
      </c>
      <c r="R32" s="40">
        <f t="shared" si="1"/>
        <v>100.75</v>
      </c>
      <c r="S32" s="40">
        <f t="shared" si="1"/>
        <v>100.75</v>
      </c>
      <c r="T32" s="40">
        <f t="shared" si="1"/>
        <v>100.75</v>
      </c>
      <c r="U32" s="40">
        <f t="shared" si="1"/>
        <v>100.75</v>
      </c>
    </row>
    <row r="33" spans="1:21" x14ac:dyDescent="0.25">
      <c r="A33" s="26" t="s">
        <v>203</v>
      </c>
      <c r="B33" s="41">
        <f t="shared" ref="B33:U33" si="2">($B4*B9*$B27*12/$B16+$B4*B10*$B28*12/$B17)/1000</f>
        <v>135.79347826086956</v>
      </c>
      <c r="C33" s="41">
        <f t="shared" si="2"/>
        <v>89.798913043478265</v>
      </c>
      <c r="D33" s="41">
        <f t="shared" si="2"/>
        <v>43.804347826086953</v>
      </c>
      <c r="E33" s="41">
        <f t="shared" si="2"/>
        <v>43.804347826086953</v>
      </c>
      <c r="F33" s="41">
        <f t="shared" si="2"/>
        <v>43.804347826086953</v>
      </c>
      <c r="G33" s="41">
        <f t="shared" si="2"/>
        <v>43.804347826086953</v>
      </c>
      <c r="H33" s="41">
        <f t="shared" si="2"/>
        <v>43.804347826086953</v>
      </c>
      <c r="I33" s="41">
        <f t="shared" si="2"/>
        <v>43.804347826086953</v>
      </c>
      <c r="J33" s="41">
        <f t="shared" si="2"/>
        <v>43.804347826086953</v>
      </c>
      <c r="K33" s="41">
        <f t="shared" si="2"/>
        <v>43.804347826086953</v>
      </c>
      <c r="L33" s="41">
        <f t="shared" si="2"/>
        <v>43.804347826086953</v>
      </c>
      <c r="M33" s="41">
        <f t="shared" si="2"/>
        <v>43.804347826086953</v>
      </c>
      <c r="N33" s="41">
        <f t="shared" si="2"/>
        <v>43.804347826086953</v>
      </c>
      <c r="O33" s="41">
        <f t="shared" si="2"/>
        <v>43.804347826086953</v>
      </c>
      <c r="P33" s="41">
        <f t="shared" si="2"/>
        <v>43.804347826086953</v>
      </c>
      <c r="Q33" s="41">
        <f t="shared" si="2"/>
        <v>43.804347826086953</v>
      </c>
      <c r="R33" s="41">
        <f t="shared" si="2"/>
        <v>43.804347826086953</v>
      </c>
      <c r="S33" s="41">
        <f t="shared" si="2"/>
        <v>43.804347826086953</v>
      </c>
      <c r="T33" s="41">
        <f t="shared" si="2"/>
        <v>43.804347826086953</v>
      </c>
      <c r="U33" s="41">
        <f t="shared" si="2"/>
        <v>43.804347826086953</v>
      </c>
    </row>
    <row r="34" spans="1:21" x14ac:dyDescent="0.25">
      <c r="A34" s="26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1:21" s="8" customFormat="1" x14ac:dyDescent="0.25">
      <c r="A35" s="19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</row>
    <row r="36" spans="1:21" x14ac:dyDescent="0.25">
      <c r="A36" s="26"/>
      <c r="B36" s="142" t="s">
        <v>191</v>
      </c>
      <c r="C36" s="142"/>
      <c r="D36" s="142"/>
      <c r="E36" s="75"/>
      <c r="F36" s="8"/>
      <c r="G36" s="75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x14ac:dyDescent="0.25">
      <c r="A37" s="26"/>
      <c r="B37" s="124" t="s">
        <v>11</v>
      </c>
      <c r="C37" s="124" t="s">
        <v>12</v>
      </c>
      <c r="D37" s="124" t="s">
        <v>13</v>
      </c>
      <c r="E37" s="75"/>
      <c r="F37" s="8"/>
      <c r="G37" s="75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x14ac:dyDescent="0.25">
      <c r="A38" s="26" t="s">
        <v>72</v>
      </c>
      <c r="B38" s="123" t="s">
        <v>4</v>
      </c>
      <c r="C38" s="123" t="s">
        <v>4</v>
      </c>
      <c r="D38" s="123" t="s">
        <v>4</v>
      </c>
      <c r="E38" s="75"/>
      <c r="F38" s="8"/>
      <c r="G38" s="75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x14ac:dyDescent="0.25">
      <c r="A39" s="26" t="s">
        <v>70</v>
      </c>
      <c r="B39" s="28">
        <f>SUMPRODUCT($B32:F32,'disc rate calcs'!$F$4:$J$4)</f>
        <v>418.04660813641681</v>
      </c>
      <c r="C39" s="28">
        <f>SUMPRODUCT($B32:K32,'disc rate calcs'!$F$4:$O$4)</f>
        <v>702.56210521101582</v>
      </c>
      <c r="D39" s="28">
        <f>SUMPRODUCT($B32:U32,'disc rate calcs'!$F$4:$Y$4)</f>
        <v>1027.9842973198251</v>
      </c>
      <c r="E39" s="75"/>
      <c r="F39" s="8"/>
      <c r="G39" s="75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x14ac:dyDescent="0.25">
      <c r="A40" s="26" t="s">
        <v>203</v>
      </c>
      <c r="B40" s="28">
        <f>SUMPRODUCT($B33:F33,'disc rate calcs'!$F$4:$J$4)</f>
        <v>311.25587596242235</v>
      </c>
      <c r="C40" s="28">
        <f>SUMPRODUCT($B33:K33,'disc rate calcs'!$F$4:$O$4)</f>
        <v>434.95826599485673</v>
      </c>
      <c r="D40" s="28">
        <f>SUMPRODUCT($B33:U33,'disc rate calcs'!$F$4:$Y$4)</f>
        <v>576.44617560738266</v>
      </c>
      <c r="E40" s="75"/>
      <c r="F40" s="75"/>
      <c r="G40" s="126"/>
      <c r="H40" s="75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x14ac:dyDescent="0.25">
      <c r="A41" s="26" t="s">
        <v>51</v>
      </c>
      <c r="B41" s="42">
        <f>-(B40-B39)</f>
        <v>106.79073217399446</v>
      </c>
      <c r="C41" s="42">
        <f t="shared" ref="C41:D41" si="3">-(C40-C39)</f>
        <v>267.60383921615909</v>
      </c>
      <c r="D41" s="42">
        <f t="shared" si="3"/>
        <v>451.53812171244249</v>
      </c>
      <c r="E41" s="91" t="s">
        <v>204</v>
      </c>
      <c r="F41" s="91"/>
      <c r="G41" s="126"/>
      <c r="H41" s="75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x14ac:dyDescent="0.25">
      <c r="A42" s="5"/>
      <c r="B42" s="5"/>
      <c r="C42" s="5"/>
      <c r="D42" s="5"/>
      <c r="E42" s="5"/>
      <c r="F42" s="5"/>
      <c r="G42" s="5"/>
    </row>
  </sheetData>
  <mergeCells count="1">
    <mergeCell ref="B36:D36"/>
  </mergeCells>
  <pageMargins left="0.7" right="0.7" top="0.75" bottom="0.75" header="0.3" footer="0.3"/>
  <pageSetup paperSize="8" scale="8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view="pageBreakPreview" zoomScale="60" zoomScaleNormal="65" workbookViewId="0"/>
  </sheetViews>
  <sheetFormatPr defaultRowHeight="15" x14ac:dyDescent="0.25"/>
  <cols>
    <col min="1" max="1" width="56.140625" customWidth="1"/>
    <col min="2" max="21" width="12.7109375" customWidth="1"/>
  </cols>
  <sheetData>
    <row r="1" spans="1:21" x14ac:dyDescent="0.25">
      <c r="A1" s="5" t="s">
        <v>6</v>
      </c>
    </row>
    <row r="2" spans="1:21" x14ac:dyDescent="0.25">
      <c r="A2" t="s">
        <v>17</v>
      </c>
      <c r="D2" s="20">
        <v>175</v>
      </c>
    </row>
    <row r="3" spans="1:21" x14ac:dyDescent="0.25">
      <c r="A3" t="s">
        <v>75</v>
      </c>
      <c r="D3" s="20">
        <v>80</v>
      </c>
    </row>
    <row r="4" spans="1:21" x14ac:dyDescent="0.25">
      <c r="A4" t="s">
        <v>86</v>
      </c>
      <c r="D4" s="20">
        <v>80</v>
      </c>
    </row>
    <row r="6" spans="1:21" x14ac:dyDescent="0.25">
      <c r="A6" s="5" t="s">
        <v>120</v>
      </c>
      <c r="D6">
        <f>'Benefits_freq chng_ex DUML'!B58</f>
        <v>174</v>
      </c>
    </row>
    <row r="7" spans="1:21" x14ac:dyDescent="0.25">
      <c r="D7" s="18"/>
    </row>
    <row r="8" spans="1:21" x14ac:dyDescent="0.25">
      <c r="A8" s="5" t="s">
        <v>208</v>
      </c>
      <c r="D8" s="18"/>
    </row>
    <row r="9" spans="1:21" x14ac:dyDescent="0.25">
      <c r="B9" t="s">
        <v>1</v>
      </c>
      <c r="D9" s="18"/>
    </row>
    <row r="10" spans="1:21" x14ac:dyDescent="0.25">
      <c r="B10">
        <v>1</v>
      </c>
      <c r="C10">
        <v>2</v>
      </c>
      <c r="D10" s="18">
        <v>3</v>
      </c>
      <c r="E10">
        <v>4</v>
      </c>
      <c r="F10" s="18">
        <v>5</v>
      </c>
      <c r="G10">
        <v>6</v>
      </c>
      <c r="H10" s="18">
        <v>7</v>
      </c>
      <c r="I10">
        <v>8</v>
      </c>
      <c r="J10" s="18">
        <v>9</v>
      </c>
      <c r="K10">
        <v>10</v>
      </c>
      <c r="L10" s="18">
        <v>11</v>
      </c>
      <c r="M10">
        <v>12</v>
      </c>
      <c r="N10" s="18">
        <v>13</v>
      </c>
      <c r="O10">
        <v>14</v>
      </c>
      <c r="P10" s="18">
        <v>15</v>
      </c>
      <c r="Q10">
        <v>16</v>
      </c>
      <c r="R10" s="18">
        <v>17</v>
      </c>
      <c r="S10">
        <v>18</v>
      </c>
      <c r="T10" s="18">
        <v>19</v>
      </c>
      <c r="U10">
        <v>20</v>
      </c>
    </row>
    <row r="11" spans="1:21" x14ac:dyDescent="0.25">
      <c r="A11" s="19" t="s">
        <v>117</v>
      </c>
      <c r="D11" s="18"/>
    </row>
    <row r="12" spans="1:21" x14ac:dyDescent="0.25">
      <c r="A12" s="19" t="s">
        <v>28</v>
      </c>
      <c r="B12" s="31">
        <f>'Benefits_freq chng_ex DUML'!$B5/'Benefits_freq chng_ex DUML'!$J$10*'Benefits_freq chng_ex DUML'!$B$58*12/'Benefits_freq chng_ex DUML'!B48</f>
        <v>27.651249199231263</v>
      </c>
      <c r="C12" s="31">
        <f>'Benefits_freq chng_ex DUML'!$B5/'Benefits_freq chng_ex DUML'!$J$10*'Benefits_freq chng_ex DUML'!$B$58*12/'Benefits_freq chng_ex DUML'!C48</f>
        <v>27.015240181505245</v>
      </c>
      <c r="D12" s="31">
        <f>'Benefits_freq chng_ex DUML'!$B5/'Benefits_freq chng_ex DUML'!$J$10*'Benefits_freq chng_ex DUML'!$B$58*12/'Benefits_freq chng_ex DUML'!D48</f>
        <v>26.40783114102172</v>
      </c>
      <c r="E12" s="31">
        <f>'Benefits_freq chng_ex DUML'!$B5/'Benefits_freq chng_ex DUML'!$J$10*'Benefits_freq chng_ex DUML'!$B$58*12/'Benefits_freq chng_ex DUML'!E48</f>
        <v>25.827135377711294</v>
      </c>
      <c r="F12" s="31">
        <f>'Benefits_freq chng_ex DUML'!$B5/'Benefits_freq chng_ex DUML'!$J$10*'Benefits_freq chng_ex DUML'!$B$58*12/'Benefits_freq chng_ex DUML'!F48</f>
        <v>25.271428571428572</v>
      </c>
      <c r="G12" s="31">
        <f>'Benefits_freq chng_ex DUML'!$B5/'Benefits_freq chng_ex DUML'!$J$10*'Benefits_freq chng_ex DUML'!$B$58*12/'Benefits_freq chng_ex DUML'!G48</f>
        <v>25.271428571428572</v>
      </c>
      <c r="H12" s="31">
        <f>'Benefits_freq chng_ex DUML'!$B5/'Benefits_freq chng_ex DUML'!$J$10*'Benefits_freq chng_ex DUML'!$B$58*12/'Benefits_freq chng_ex DUML'!H48</f>
        <v>25.271428571428572</v>
      </c>
      <c r="I12" s="31">
        <f>'Benefits_freq chng_ex DUML'!$B5/'Benefits_freq chng_ex DUML'!$J$10*'Benefits_freq chng_ex DUML'!$B$58*12/'Benefits_freq chng_ex DUML'!I48</f>
        <v>25.271428571428572</v>
      </c>
      <c r="J12" s="31">
        <f>'Benefits_freq chng_ex DUML'!$B5/'Benefits_freq chng_ex DUML'!$J$10*'Benefits_freq chng_ex DUML'!$B$58*12/'Benefits_freq chng_ex DUML'!J48</f>
        <v>25.271428571428572</v>
      </c>
      <c r="K12" s="31">
        <f>'Benefits_freq chng_ex DUML'!$B5/'Benefits_freq chng_ex DUML'!$J$10*'Benefits_freq chng_ex DUML'!$B$58*12/'Benefits_freq chng_ex DUML'!K48</f>
        <v>25.271428571428572</v>
      </c>
      <c r="L12" s="31">
        <f>'Benefits_freq chng_ex DUML'!$B5/'Benefits_freq chng_ex DUML'!$J$10*'Benefits_freq chng_ex DUML'!$B$58*12/'Benefits_freq chng_ex DUML'!L48</f>
        <v>25.271428571428572</v>
      </c>
      <c r="M12" s="31">
        <f>'Benefits_freq chng_ex DUML'!$B5/'Benefits_freq chng_ex DUML'!$J$10*'Benefits_freq chng_ex DUML'!$B$58*12/'Benefits_freq chng_ex DUML'!M48</f>
        <v>25.271428571428572</v>
      </c>
      <c r="N12" s="31">
        <f>'Benefits_freq chng_ex DUML'!$B5/'Benefits_freq chng_ex DUML'!$J$10*'Benefits_freq chng_ex DUML'!$B$58*12/'Benefits_freq chng_ex DUML'!N48</f>
        <v>25.271428571428572</v>
      </c>
      <c r="O12" s="31">
        <f>'Benefits_freq chng_ex DUML'!$B5/'Benefits_freq chng_ex DUML'!$J$10*'Benefits_freq chng_ex DUML'!$B$58*12/'Benefits_freq chng_ex DUML'!O48</f>
        <v>25.271428571428572</v>
      </c>
      <c r="P12" s="31">
        <f>'Benefits_freq chng_ex DUML'!$B5/'Benefits_freq chng_ex DUML'!$J$10*'Benefits_freq chng_ex DUML'!$B$58*12/'Benefits_freq chng_ex DUML'!P48</f>
        <v>25.271428571428572</v>
      </c>
      <c r="Q12" s="31">
        <f>'Benefits_freq chng_ex DUML'!$B5/'Benefits_freq chng_ex DUML'!$J$10*'Benefits_freq chng_ex DUML'!$B$58*12/'Benefits_freq chng_ex DUML'!Q48</f>
        <v>25.271428571428572</v>
      </c>
      <c r="R12" s="31">
        <f>'Benefits_freq chng_ex DUML'!$B5/'Benefits_freq chng_ex DUML'!$J$10*'Benefits_freq chng_ex DUML'!$B$58*12/'Benefits_freq chng_ex DUML'!R48</f>
        <v>25.271428571428572</v>
      </c>
      <c r="S12" s="31">
        <f>'Benefits_freq chng_ex DUML'!$B5/'Benefits_freq chng_ex DUML'!$J$10*'Benefits_freq chng_ex DUML'!$B$58*12/'Benefits_freq chng_ex DUML'!S48</f>
        <v>25.271428571428572</v>
      </c>
      <c r="T12" s="31">
        <f>'Benefits_freq chng_ex DUML'!$B5/'Benefits_freq chng_ex DUML'!$J$10*'Benefits_freq chng_ex DUML'!$B$58*12/'Benefits_freq chng_ex DUML'!T48</f>
        <v>25.271428571428572</v>
      </c>
      <c r="U12" s="31">
        <f>'Benefits_freq chng_ex DUML'!$B5/'Benefits_freq chng_ex DUML'!$J$10*'Benefits_freq chng_ex DUML'!$B$58*12/'Benefits_freq chng_ex DUML'!U48</f>
        <v>25.271428571428572</v>
      </c>
    </row>
    <row r="13" spans="1:21" x14ac:dyDescent="0.25">
      <c r="A13" s="19" t="s">
        <v>29</v>
      </c>
      <c r="B13" s="31">
        <f>'Benefits_freq chng_ex DUML'!$B6/'Benefits_freq chng_ex DUML'!$J$10*'Benefits_freq chng_ex DUML'!$B$58*12/'Benefits_freq chng_ex DUML'!B49</f>
        <v>3.9771428571428573</v>
      </c>
      <c r="C13" s="31">
        <f>'Benefits_freq chng_ex DUML'!$B6/'Benefits_freq chng_ex DUML'!$J$10*'Benefits_freq chng_ex DUML'!$B$58*12/'Benefits_freq chng_ex DUML'!C49</f>
        <v>3.6155844155844155</v>
      </c>
      <c r="D13" s="31">
        <f>'Benefits_freq chng_ex DUML'!$B6/'Benefits_freq chng_ex DUML'!$J$10*'Benefits_freq chng_ex DUML'!$B$58*12/'Benefits_freq chng_ex DUML'!D49</f>
        <v>3.3142857142857145</v>
      </c>
      <c r="E13" s="31">
        <f>'Benefits_freq chng_ex DUML'!$B6/'Benefits_freq chng_ex DUML'!$J$10*'Benefits_freq chng_ex DUML'!$B$58*12/'Benefits_freq chng_ex DUML'!E49</f>
        <v>3.0593406593406596</v>
      </c>
      <c r="F13" s="31">
        <f>'Benefits_freq chng_ex DUML'!$B6/'Benefits_freq chng_ex DUML'!$J$10*'Benefits_freq chng_ex DUML'!$B$58*12/'Benefits_freq chng_ex DUML'!F49</f>
        <v>2.8408163265306121</v>
      </c>
      <c r="G13" s="31">
        <f>'Benefits_freq chng_ex DUML'!$B6/'Benefits_freq chng_ex DUML'!$J$10*'Benefits_freq chng_ex DUML'!$B$58*12/'Benefits_freq chng_ex DUML'!G49</f>
        <v>2.8408163265306121</v>
      </c>
      <c r="H13" s="31">
        <f>'Benefits_freq chng_ex DUML'!$B6/'Benefits_freq chng_ex DUML'!$J$10*'Benefits_freq chng_ex DUML'!$B$58*12/'Benefits_freq chng_ex DUML'!H49</f>
        <v>2.8408163265306121</v>
      </c>
      <c r="I13" s="31">
        <f>'Benefits_freq chng_ex DUML'!$B6/'Benefits_freq chng_ex DUML'!$J$10*'Benefits_freq chng_ex DUML'!$B$58*12/'Benefits_freq chng_ex DUML'!I49</f>
        <v>2.8408163265306121</v>
      </c>
      <c r="J13" s="31">
        <f>'Benefits_freq chng_ex DUML'!$B6/'Benefits_freq chng_ex DUML'!$J$10*'Benefits_freq chng_ex DUML'!$B$58*12/'Benefits_freq chng_ex DUML'!J49</f>
        <v>2.8408163265306121</v>
      </c>
      <c r="K13" s="31">
        <f>'Benefits_freq chng_ex DUML'!$B6/'Benefits_freq chng_ex DUML'!$J$10*'Benefits_freq chng_ex DUML'!$B$58*12/'Benefits_freq chng_ex DUML'!K49</f>
        <v>2.8408163265306121</v>
      </c>
      <c r="L13" s="31">
        <f>'Benefits_freq chng_ex DUML'!$B6/'Benefits_freq chng_ex DUML'!$J$10*'Benefits_freq chng_ex DUML'!$B$58*12/'Benefits_freq chng_ex DUML'!L49</f>
        <v>2.8408163265306121</v>
      </c>
      <c r="M13" s="31">
        <f>'Benefits_freq chng_ex DUML'!$B6/'Benefits_freq chng_ex DUML'!$J$10*'Benefits_freq chng_ex DUML'!$B$58*12/'Benefits_freq chng_ex DUML'!M49</f>
        <v>2.8408163265306121</v>
      </c>
      <c r="N13" s="31">
        <f>'Benefits_freq chng_ex DUML'!$B6/'Benefits_freq chng_ex DUML'!$J$10*'Benefits_freq chng_ex DUML'!$B$58*12/'Benefits_freq chng_ex DUML'!N49</f>
        <v>2.8408163265306121</v>
      </c>
      <c r="O13" s="31">
        <f>'Benefits_freq chng_ex DUML'!$B6/'Benefits_freq chng_ex DUML'!$J$10*'Benefits_freq chng_ex DUML'!$B$58*12/'Benefits_freq chng_ex DUML'!O49</f>
        <v>2.8408163265306121</v>
      </c>
      <c r="P13" s="31">
        <f>'Benefits_freq chng_ex DUML'!$B6/'Benefits_freq chng_ex DUML'!$J$10*'Benefits_freq chng_ex DUML'!$B$58*12/'Benefits_freq chng_ex DUML'!P49</f>
        <v>2.8408163265306121</v>
      </c>
      <c r="Q13" s="31">
        <f>'Benefits_freq chng_ex DUML'!$B6/'Benefits_freq chng_ex DUML'!$J$10*'Benefits_freq chng_ex DUML'!$B$58*12/'Benefits_freq chng_ex DUML'!Q49</f>
        <v>2.8408163265306121</v>
      </c>
      <c r="R13" s="31">
        <f>'Benefits_freq chng_ex DUML'!$B6/'Benefits_freq chng_ex DUML'!$J$10*'Benefits_freq chng_ex DUML'!$B$58*12/'Benefits_freq chng_ex DUML'!R49</f>
        <v>2.8408163265306121</v>
      </c>
      <c r="S13" s="31">
        <f>'Benefits_freq chng_ex DUML'!$B6/'Benefits_freq chng_ex DUML'!$J$10*'Benefits_freq chng_ex DUML'!$B$58*12/'Benefits_freq chng_ex DUML'!S49</f>
        <v>2.8408163265306121</v>
      </c>
      <c r="T13" s="31">
        <f>'Benefits_freq chng_ex DUML'!$B6/'Benefits_freq chng_ex DUML'!$J$10*'Benefits_freq chng_ex DUML'!$B$58*12/'Benefits_freq chng_ex DUML'!T49</f>
        <v>2.8408163265306121</v>
      </c>
      <c r="U13" s="31">
        <f>'Benefits_freq chng_ex DUML'!$B6/'Benefits_freq chng_ex DUML'!$J$10*'Benefits_freq chng_ex DUML'!$B$58*12/'Benefits_freq chng_ex DUML'!U49</f>
        <v>2.8408163265306121</v>
      </c>
    </row>
    <row r="14" spans="1:21" x14ac:dyDescent="0.25">
      <c r="A14" s="19" t="s">
        <v>30</v>
      </c>
      <c r="B14" s="31">
        <f>'Benefits_freq chng_ex DUML'!$B7/'Benefits_freq chng_ex DUML'!$J$10*'Benefits_freq chng_ex DUML'!$B$58*12/'Benefits_freq chng_ex DUML'!B50</f>
        <v>14.914285714285716</v>
      </c>
      <c r="C14" s="31">
        <f>'Benefits_freq chng_ex DUML'!$B7/'Benefits_freq chng_ex DUML'!$J$10*'Benefits_freq chng_ex DUML'!$B$58*12/'Benefits_freq chng_ex DUML'!C50</f>
        <v>13.016103896103898</v>
      </c>
      <c r="D14" s="31">
        <f>'Benefits_freq chng_ex DUML'!$B7/'Benefits_freq chng_ex DUML'!$J$10*'Benefits_freq chng_ex DUML'!$B$58*12/'Benefits_freq chng_ex DUML'!D50</f>
        <v>11.546543778801844</v>
      </c>
      <c r="E14" s="31">
        <f>'Benefits_freq chng_ex DUML'!$B7/'Benefits_freq chng_ex DUML'!$J$10*'Benefits_freq chng_ex DUML'!$B$58*12/'Benefits_freq chng_ex DUML'!E50</f>
        <v>10.375155279503106</v>
      </c>
      <c r="F14" s="31">
        <f>'Benefits_freq chng_ex DUML'!$B7/'Benefits_freq chng_ex DUML'!$J$10*'Benefits_freq chng_ex DUML'!$B$58*12/'Benefits_freq chng_ex DUML'!F50</f>
        <v>9.4195488721804512</v>
      </c>
      <c r="G14" s="31">
        <f>'Benefits_freq chng_ex DUML'!$B7/'Benefits_freq chng_ex DUML'!$J$10*'Benefits_freq chng_ex DUML'!$B$58*12/'Benefits_freq chng_ex DUML'!G50</f>
        <v>9.4195488721804512</v>
      </c>
      <c r="H14" s="31">
        <f>'Benefits_freq chng_ex DUML'!$B7/'Benefits_freq chng_ex DUML'!$J$10*'Benefits_freq chng_ex DUML'!$B$58*12/'Benefits_freq chng_ex DUML'!H50</f>
        <v>9.4195488721804512</v>
      </c>
      <c r="I14" s="31">
        <f>'Benefits_freq chng_ex DUML'!$B7/'Benefits_freq chng_ex DUML'!$J$10*'Benefits_freq chng_ex DUML'!$B$58*12/'Benefits_freq chng_ex DUML'!I50</f>
        <v>9.4195488721804512</v>
      </c>
      <c r="J14" s="31">
        <f>'Benefits_freq chng_ex DUML'!$B7/'Benefits_freq chng_ex DUML'!$J$10*'Benefits_freq chng_ex DUML'!$B$58*12/'Benefits_freq chng_ex DUML'!J50</f>
        <v>9.4195488721804512</v>
      </c>
      <c r="K14" s="31">
        <f>'Benefits_freq chng_ex DUML'!$B7/'Benefits_freq chng_ex DUML'!$J$10*'Benefits_freq chng_ex DUML'!$B$58*12/'Benefits_freq chng_ex DUML'!K50</f>
        <v>9.4195488721804512</v>
      </c>
      <c r="L14" s="31">
        <f>'Benefits_freq chng_ex DUML'!$B7/'Benefits_freq chng_ex DUML'!$J$10*'Benefits_freq chng_ex DUML'!$B$58*12/'Benefits_freq chng_ex DUML'!L50</f>
        <v>9.4195488721804512</v>
      </c>
      <c r="M14" s="31">
        <f>'Benefits_freq chng_ex DUML'!$B7/'Benefits_freq chng_ex DUML'!$J$10*'Benefits_freq chng_ex DUML'!$B$58*12/'Benefits_freq chng_ex DUML'!M50</f>
        <v>9.4195488721804512</v>
      </c>
      <c r="N14" s="31">
        <f>'Benefits_freq chng_ex DUML'!$B7/'Benefits_freq chng_ex DUML'!$J$10*'Benefits_freq chng_ex DUML'!$B$58*12/'Benefits_freq chng_ex DUML'!N50</f>
        <v>9.4195488721804512</v>
      </c>
      <c r="O14" s="31">
        <f>'Benefits_freq chng_ex DUML'!$B7/'Benefits_freq chng_ex DUML'!$J$10*'Benefits_freq chng_ex DUML'!$B$58*12/'Benefits_freq chng_ex DUML'!O50</f>
        <v>9.4195488721804512</v>
      </c>
      <c r="P14" s="31">
        <f>'Benefits_freq chng_ex DUML'!$B7/'Benefits_freq chng_ex DUML'!$J$10*'Benefits_freq chng_ex DUML'!$B$58*12/'Benefits_freq chng_ex DUML'!P50</f>
        <v>9.4195488721804512</v>
      </c>
      <c r="Q14" s="31">
        <f>'Benefits_freq chng_ex DUML'!$B7/'Benefits_freq chng_ex DUML'!$J$10*'Benefits_freq chng_ex DUML'!$B$58*12/'Benefits_freq chng_ex DUML'!Q50</f>
        <v>9.4195488721804512</v>
      </c>
      <c r="R14" s="31">
        <f>'Benefits_freq chng_ex DUML'!$B7/'Benefits_freq chng_ex DUML'!$J$10*'Benefits_freq chng_ex DUML'!$B$58*12/'Benefits_freq chng_ex DUML'!R50</f>
        <v>9.4195488721804512</v>
      </c>
      <c r="S14" s="31">
        <f>'Benefits_freq chng_ex DUML'!$B7/'Benefits_freq chng_ex DUML'!$J$10*'Benefits_freq chng_ex DUML'!$B$58*12/'Benefits_freq chng_ex DUML'!S50</f>
        <v>9.4195488721804512</v>
      </c>
      <c r="T14" s="31">
        <f>'Benefits_freq chng_ex DUML'!$B7/'Benefits_freq chng_ex DUML'!$J$10*'Benefits_freq chng_ex DUML'!$B$58*12/'Benefits_freq chng_ex DUML'!T50</f>
        <v>9.4195488721804512</v>
      </c>
      <c r="U14" s="31">
        <f>'Benefits_freq chng_ex DUML'!$B7/'Benefits_freq chng_ex DUML'!$J$10*'Benefits_freq chng_ex DUML'!$B$58*12/'Benefits_freq chng_ex DUML'!U50</f>
        <v>9.4195488721804512</v>
      </c>
    </row>
    <row r="15" spans="1:21" x14ac:dyDescent="0.25">
      <c r="A15" s="19"/>
      <c r="D15" s="18"/>
    </row>
    <row r="16" spans="1:21" x14ac:dyDescent="0.25">
      <c r="A16" s="19" t="s">
        <v>20</v>
      </c>
      <c r="D16" s="18"/>
    </row>
    <row r="17" spans="1:21" x14ac:dyDescent="0.25">
      <c r="A17" s="19" t="s">
        <v>28</v>
      </c>
      <c r="B17" s="31">
        <f>'Benefits_freq chng_ex DUML'!$C5/'Benefits_freq chng_ex DUML'!$J$10*'Benefits_freq chng_ex DUML'!$B$58*12/'Benefits_freq chng_ex DUML'!B53</f>
        <v>22.10444444444445</v>
      </c>
      <c r="C17" s="31">
        <f>'Benefits_freq chng_ex DUML'!$C5/'Benefits_freq chng_ex DUML'!$J$10*'Benefits_freq chng_ex DUML'!$B$58*12/'Benefits_freq chng_ex DUML'!C53</f>
        <v>21.623913043478264</v>
      </c>
      <c r="D17" s="31">
        <f>'Benefits_freq chng_ex DUML'!$C5/'Benefits_freq chng_ex DUML'!$J$10*'Benefits_freq chng_ex DUML'!$B$58*12/'Benefits_freq chng_ex DUML'!D53</f>
        <v>21.163829787234047</v>
      </c>
      <c r="E17" s="31">
        <f>'Benefits_freq chng_ex DUML'!$C5/'Benefits_freq chng_ex DUML'!$J$10*'Benefits_freq chng_ex DUML'!$B$58*12/'Benefits_freq chng_ex DUML'!E53</f>
        <v>20.72291666666667</v>
      </c>
      <c r="F17" s="31">
        <f>'Benefits_freq chng_ex DUML'!$C5/'Benefits_freq chng_ex DUML'!$J$10*'Benefits_freq chng_ex DUML'!$B$58*12/'Benefits_freq chng_ex DUML'!F53</f>
        <v>20.3</v>
      </c>
      <c r="G17" s="31">
        <f>'Benefits_freq chng_ex DUML'!$C5/'Benefits_freq chng_ex DUML'!$J$10*'Benefits_freq chng_ex DUML'!$B$58*12/'Benefits_freq chng_ex DUML'!G53</f>
        <v>20.3</v>
      </c>
      <c r="H17" s="31">
        <f>'Benefits_freq chng_ex DUML'!$C5/'Benefits_freq chng_ex DUML'!$J$10*'Benefits_freq chng_ex DUML'!$B$58*12/'Benefits_freq chng_ex DUML'!H53</f>
        <v>20.3</v>
      </c>
      <c r="I17" s="31">
        <f>'Benefits_freq chng_ex DUML'!$C5/'Benefits_freq chng_ex DUML'!$J$10*'Benefits_freq chng_ex DUML'!$B$58*12/'Benefits_freq chng_ex DUML'!I53</f>
        <v>20.3</v>
      </c>
      <c r="J17" s="31">
        <f>'Benefits_freq chng_ex DUML'!$C5/'Benefits_freq chng_ex DUML'!$J$10*'Benefits_freq chng_ex DUML'!$B$58*12/'Benefits_freq chng_ex DUML'!J53</f>
        <v>20.3</v>
      </c>
      <c r="K17" s="31">
        <f>'Benefits_freq chng_ex DUML'!$C5/'Benefits_freq chng_ex DUML'!$J$10*'Benefits_freq chng_ex DUML'!$B$58*12/'Benefits_freq chng_ex DUML'!K53</f>
        <v>20.3</v>
      </c>
      <c r="L17" s="31">
        <f>'Benefits_freq chng_ex DUML'!$C5/'Benefits_freq chng_ex DUML'!$J$10*'Benefits_freq chng_ex DUML'!$B$58*12/'Benefits_freq chng_ex DUML'!L53</f>
        <v>20.3</v>
      </c>
      <c r="M17" s="31">
        <f>'Benefits_freq chng_ex DUML'!$C5/'Benefits_freq chng_ex DUML'!$J$10*'Benefits_freq chng_ex DUML'!$B$58*12/'Benefits_freq chng_ex DUML'!M53</f>
        <v>20.3</v>
      </c>
      <c r="N17" s="31">
        <f>'Benefits_freq chng_ex DUML'!$C5/'Benefits_freq chng_ex DUML'!$J$10*'Benefits_freq chng_ex DUML'!$B$58*12/'Benefits_freq chng_ex DUML'!N53</f>
        <v>20.3</v>
      </c>
      <c r="O17" s="31">
        <f>'Benefits_freq chng_ex DUML'!$C5/'Benefits_freq chng_ex DUML'!$J$10*'Benefits_freq chng_ex DUML'!$B$58*12/'Benefits_freq chng_ex DUML'!O53</f>
        <v>20.3</v>
      </c>
      <c r="P17" s="31">
        <f>'Benefits_freq chng_ex DUML'!$C5/'Benefits_freq chng_ex DUML'!$J$10*'Benefits_freq chng_ex DUML'!$B$58*12/'Benefits_freq chng_ex DUML'!P53</f>
        <v>20.3</v>
      </c>
      <c r="Q17" s="31">
        <f>'Benefits_freq chng_ex DUML'!$C5/'Benefits_freq chng_ex DUML'!$J$10*'Benefits_freq chng_ex DUML'!$B$58*12/'Benefits_freq chng_ex DUML'!Q53</f>
        <v>20.3</v>
      </c>
      <c r="R17" s="31">
        <f>'Benefits_freq chng_ex DUML'!$C5/'Benefits_freq chng_ex DUML'!$J$10*'Benefits_freq chng_ex DUML'!$B$58*12/'Benefits_freq chng_ex DUML'!R53</f>
        <v>20.3</v>
      </c>
      <c r="S17" s="31">
        <f>'Benefits_freq chng_ex DUML'!$C5/'Benefits_freq chng_ex DUML'!$J$10*'Benefits_freq chng_ex DUML'!$B$58*12/'Benefits_freq chng_ex DUML'!S53</f>
        <v>20.3</v>
      </c>
      <c r="T17" s="31">
        <f>'Benefits_freq chng_ex DUML'!$C5/'Benefits_freq chng_ex DUML'!$J$10*'Benefits_freq chng_ex DUML'!$B$58*12/'Benefits_freq chng_ex DUML'!T53</f>
        <v>20.3</v>
      </c>
      <c r="U17" s="31">
        <f>'Benefits_freq chng_ex DUML'!$C5/'Benefits_freq chng_ex DUML'!$J$10*'Benefits_freq chng_ex DUML'!$B$58*12/'Benefits_freq chng_ex DUML'!U53</f>
        <v>20.3</v>
      </c>
    </row>
    <row r="18" spans="1:21" x14ac:dyDescent="0.25">
      <c r="A18" s="19" t="s">
        <v>29</v>
      </c>
      <c r="B18" s="31">
        <f>'Benefits_freq chng_ex DUML'!$C6/'Benefits_freq chng_ex DUML'!$J$10*'Benefits_freq chng_ex DUML'!$B$58*12/'Benefits_freq chng_ex DUML'!B54</f>
        <v>19.356349206349204</v>
      </c>
      <c r="C18" s="31">
        <f>'Benefits_freq chng_ex DUML'!$C6/'Benefits_freq chng_ex DUML'!$J$10*'Benefits_freq chng_ex DUML'!$B$58*12/'Benefits_freq chng_ex DUML'!C54</f>
        <v>17.585579089680035</v>
      </c>
      <c r="D18" s="31">
        <f>'Benefits_freq chng_ex DUML'!$C6/'Benefits_freq chng_ex DUML'!$J$10*'Benefits_freq chng_ex DUML'!$B$58*12/'Benefits_freq chng_ex DUML'!D54</f>
        <v>16.111643270024771</v>
      </c>
      <c r="E18" s="31">
        <f>'Benefits_freq chng_ex DUML'!$C6/'Benefits_freq chng_ex DUML'!$J$10*'Benefits_freq chng_ex DUML'!$B$58*12/'Benefits_freq chng_ex DUML'!E54</f>
        <v>14.86567619047619</v>
      </c>
      <c r="F18" s="31">
        <f>'Benefits_freq chng_ex DUML'!$C6/'Benefits_freq chng_ex DUML'!$J$10*'Benefits_freq chng_ex DUML'!$B$58*12/'Benefits_freq chng_ex DUML'!F54</f>
        <v>13.798585572842999</v>
      </c>
      <c r="G18" s="31">
        <f>'Benefits_freq chng_ex DUML'!$C6/'Benefits_freq chng_ex DUML'!$J$10*'Benefits_freq chng_ex DUML'!$B$58*12/'Benefits_freq chng_ex DUML'!G54</f>
        <v>13.798585572842999</v>
      </c>
      <c r="H18" s="31">
        <f>'Benefits_freq chng_ex DUML'!$C6/'Benefits_freq chng_ex DUML'!$J$10*'Benefits_freq chng_ex DUML'!$B$58*12/'Benefits_freq chng_ex DUML'!H54</f>
        <v>13.798585572842999</v>
      </c>
      <c r="I18" s="31">
        <f>'Benefits_freq chng_ex DUML'!$C6/'Benefits_freq chng_ex DUML'!$J$10*'Benefits_freq chng_ex DUML'!$B$58*12/'Benefits_freq chng_ex DUML'!I54</f>
        <v>13.798585572842999</v>
      </c>
      <c r="J18" s="31">
        <f>'Benefits_freq chng_ex DUML'!$C6/'Benefits_freq chng_ex DUML'!$J$10*'Benefits_freq chng_ex DUML'!$B$58*12/'Benefits_freq chng_ex DUML'!J54</f>
        <v>13.798585572842999</v>
      </c>
      <c r="K18" s="31">
        <f>'Benefits_freq chng_ex DUML'!$C6/'Benefits_freq chng_ex DUML'!$J$10*'Benefits_freq chng_ex DUML'!$B$58*12/'Benefits_freq chng_ex DUML'!K54</f>
        <v>13.798585572842999</v>
      </c>
      <c r="L18" s="31">
        <f>'Benefits_freq chng_ex DUML'!$C6/'Benefits_freq chng_ex DUML'!$J$10*'Benefits_freq chng_ex DUML'!$B$58*12/'Benefits_freq chng_ex DUML'!L54</f>
        <v>13.798585572842999</v>
      </c>
      <c r="M18" s="31">
        <f>'Benefits_freq chng_ex DUML'!$C6/'Benefits_freq chng_ex DUML'!$J$10*'Benefits_freq chng_ex DUML'!$B$58*12/'Benefits_freq chng_ex DUML'!M54</f>
        <v>13.798585572842999</v>
      </c>
      <c r="N18" s="31">
        <f>'Benefits_freq chng_ex DUML'!$C6/'Benefits_freq chng_ex DUML'!$J$10*'Benefits_freq chng_ex DUML'!$B$58*12/'Benefits_freq chng_ex DUML'!N54</f>
        <v>13.798585572842999</v>
      </c>
      <c r="O18" s="31">
        <f>'Benefits_freq chng_ex DUML'!$C6/'Benefits_freq chng_ex DUML'!$J$10*'Benefits_freq chng_ex DUML'!$B$58*12/'Benefits_freq chng_ex DUML'!O54</f>
        <v>13.798585572842999</v>
      </c>
      <c r="P18" s="31">
        <f>'Benefits_freq chng_ex DUML'!$C6/'Benefits_freq chng_ex DUML'!$J$10*'Benefits_freq chng_ex DUML'!$B$58*12/'Benefits_freq chng_ex DUML'!P54</f>
        <v>13.798585572842999</v>
      </c>
      <c r="Q18" s="31">
        <f>'Benefits_freq chng_ex DUML'!$C6/'Benefits_freq chng_ex DUML'!$J$10*'Benefits_freq chng_ex DUML'!$B$58*12/'Benefits_freq chng_ex DUML'!Q54</f>
        <v>13.798585572842999</v>
      </c>
      <c r="R18" s="31">
        <f>'Benefits_freq chng_ex DUML'!$C6/'Benefits_freq chng_ex DUML'!$J$10*'Benefits_freq chng_ex DUML'!$B$58*12/'Benefits_freq chng_ex DUML'!R54</f>
        <v>13.798585572842999</v>
      </c>
      <c r="S18" s="31">
        <f>'Benefits_freq chng_ex DUML'!$C6/'Benefits_freq chng_ex DUML'!$J$10*'Benefits_freq chng_ex DUML'!$B$58*12/'Benefits_freq chng_ex DUML'!S54</f>
        <v>13.798585572842999</v>
      </c>
      <c r="T18" s="31">
        <f>'Benefits_freq chng_ex DUML'!$C6/'Benefits_freq chng_ex DUML'!$J$10*'Benefits_freq chng_ex DUML'!$B$58*12/'Benefits_freq chng_ex DUML'!T54</f>
        <v>13.798585572842999</v>
      </c>
      <c r="U18" s="31">
        <f>'Benefits_freq chng_ex DUML'!$C6/'Benefits_freq chng_ex DUML'!$J$10*'Benefits_freq chng_ex DUML'!$B$58*12/'Benefits_freq chng_ex DUML'!U54</f>
        <v>13.798585572842999</v>
      </c>
    </row>
    <row r="19" spans="1:21" x14ac:dyDescent="0.25">
      <c r="A19" s="19"/>
      <c r="D19" s="18"/>
    </row>
    <row r="20" spans="1:21" x14ac:dyDescent="0.25">
      <c r="A20" s="19" t="s">
        <v>121</v>
      </c>
      <c r="B20" s="31">
        <f>'Benefits_freq chng_ex DUML'!$D8/'Benefits_freq chng_ex DUML'!$J$10*'Benefits_freq chng_ex DUML'!$B$58</f>
        <v>24.028571428571428</v>
      </c>
      <c r="C20" s="31">
        <f>'Benefits_freq chng_ex DUML'!$D8/'Benefits_freq chng_ex DUML'!$J$10*'Benefits_freq chng_ex DUML'!$B$58</f>
        <v>24.028571428571428</v>
      </c>
      <c r="D20" s="31">
        <f>'Benefits_freq chng_ex DUML'!$D8/'Benefits_freq chng_ex DUML'!$J$10*'Benefits_freq chng_ex DUML'!$B$58</f>
        <v>24.028571428571428</v>
      </c>
      <c r="E20" s="31">
        <f>'Benefits_freq chng_ex DUML'!$D8/'Benefits_freq chng_ex DUML'!$J$10*'Benefits_freq chng_ex DUML'!$B$58</f>
        <v>24.028571428571428</v>
      </c>
      <c r="F20" s="31">
        <f>'Benefits_freq chng_ex DUML'!$D8/'Benefits_freq chng_ex DUML'!$J$10*'Benefits_freq chng_ex DUML'!$B$58</f>
        <v>24.028571428571428</v>
      </c>
      <c r="G20" s="31">
        <f>'Benefits_freq chng_ex DUML'!$D8/'Benefits_freq chng_ex DUML'!$J$10*'Benefits_freq chng_ex DUML'!$B$58</f>
        <v>24.028571428571428</v>
      </c>
      <c r="H20" s="31">
        <f>'Benefits_freq chng_ex DUML'!$D8/'Benefits_freq chng_ex DUML'!$J$10*'Benefits_freq chng_ex DUML'!$B$58</f>
        <v>24.028571428571428</v>
      </c>
      <c r="I20" s="31">
        <f>'Benefits_freq chng_ex DUML'!$D8/'Benefits_freq chng_ex DUML'!$J$10*'Benefits_freq chng_ex DUML'!$B$58</f>
        <v>24.028571428571428</v>
      </c>
      <c r="J20" s="31">
        <f>'Benefits_freq chng_ex DUML'!$D8/'Benefits_freq chng_ex DUML'!$J$10*'Benefits_freq chng_ex DUML'!$B$58</f>
        <v>24.028571428571428</v>
      </c>
      <c r="K20" s="31">
        <f>'Benefits_freq chng_ex DUML'!$D8/'Benefits_freq chng_ex DUML'!$J$10*'Benefits_freq chng_ex DUML'!$B$58</f>
        <v>24.028571428571428</v>
      </c>
      <c r="L20" s="31">
        <f>'Benefits_freq chng_ex DUML'!$D8/'Benefits_freq chng_ex DUML'!$J$10*'Benefits_freq chng_ex DUML'!$B$58</f>
        <v>24.028571428571428</v>
      </c>
      <c r="M20" s="31">
        <f>'Benefits_freq chng_ex DUML'!$D8/'Benefits_freq chng_ex DUML'!$J$10*'Benefits_freq chng_ex DUML'!$B$58</f>
        <v>24.028571428571428</v>
      </c>
      <c r="N20" s="31">
        <f>'Benefits_freq chng_ex DUML'!$D8/'Benefits_freq chng_ex DUML'!$J$10*'Benefits_freq chng_ex DUML'!$B$58</f>
        <v>24.028571428571428</v>
      </c>
      <c r="O20" s="31">
        <f>'Benefits_freq chng_ex DUML'!$D8/'Benefits_freq chng_ex DUML'!$J$10*'Benefits_freq chng_ex DUML'!$B$58</f>
        <v>24.028571428571428</v>
      </c>
      <c r="P20" s="31">
        <f>'Benefits_freq chng_ex DUML'!$D8/'Benefits_freq chng_ex DUML'!$J$10*'Benefits_freq chng_ex DUML'!$B$58</f>
        <v>24.028571428571428</v>
      </c>
      <c r="Q20" s="31">
        <f>'Benefits_freq chng_ex DUML'!$D8/'Benefits_freq chng_ex DUML'!$J$10*'Benefits_freq chng_ex DUML'!$B$58</f>
        <v>24.028571428571428</v>
      </c>
      <c r="R20" s="31">
        <f>'Benefits_freq chng_ex DUML'!$D8/'Benefits_freq chng_ex DUML'!$J$10*'Benefits_freq chng_ex DUML'!$B$58</f>
        <v>24.028571428571428</v>
      </c>
      <c r="S20" s="31">
        <f>'Benefits_freq chng_ex DUML'!$D8/'Benefits_freq chng_ex DUML'!$J$10*'Benefits_freq chng_ex DUML'!$B$58</f>
        <v>24.028571428571428</v>
      </c>
      <c r="T20" s="31">
        <f>'Benefits_freq chng_ex DUML'!$D8/'Benefits_freq chng_ex DUML'!$J$10*'Benefits_freq chng_ex DUML'!$B$58</f>
        <v>24.028571428571428</v>
      </c>
      <c r="U20" s="31">
        <f>'Benefits_freq chng_ex DUML'!$D8/'Benefits_freq chng_ex DUML'!$J$10*'Benefits_freq chng_ex DUML'!$B$58</f>
        <v>24.028571428571428</v>
      </c>
    </row>
    <row r="21" spans="1:21" x14ac:dyDescent="0.25">
      <c r="A21" s="19" t="s">
        <v>24</v>
      </c>
      <c r="B21" s="31">
        <f>'Benefits_freq chng_ex DUML'!$E8/'Benefits_freq chng_ex DUML'!$J$10*'Benefits_freq chng_ex DUML'!$B$58+'Costs_additional audits'!$B$4</f>
        <v>15.585714285714287</v>
      </c>
      <c r="C21" s="31">
        <f>'Benefits_freq chng_ex DUML'!$E8/'Benefits_freq chng_ex DUML'!$J$10*'Benefits_freq chng_ex DUML'!$B$58+'Costs_additional audits'!$B$4</f>
        <v>15.585714285714287</v>
      </c>
      <c r="D21" s="31">
        <f>'Benefits_freq chng_ex DUML'!$E8/'Benefits_freq chng_ex DUML'!$J$10*'Benefits_freq chng_ex DUML'!$B$58+'Costs_additional audits'!$B$4</f>
        <v>15.585714285714287</v>
      </c>
      <c r="E21" s="31">
        <f>'Benefits_freq chng_ex DUML'!$E8/'Benefits_freq chng_ex DUML'!$J$10*'Benefits_freq chng_ex DUML'!$B$58+'Costs_additional audits'!$B$4</f>
        <v>15.585714285714287</v>
      </c>
      <c r="F21" s="31">
        <f>'Benefits_freq chng_ex DUML'!$E8/'Benefits_freq chng_ex DUML'!$J$10*'Benefits_freq chng_ex DUML'!$B$58+'Costs_additional audits'!$B$4</f>
        <v>15.585714285714287</v>
      </c>
      <c r="G21" s="31">
        <f>'Benefits_freq chng_ex DUML'!$E8/'Benefits_freq chng_ex DUML'!$J$10*'Benefits_freq chng_ex DUML'!$B$58+'Costs_additional audits'!$B$4</f>
        <v>15.585714285714287</v>
      </c>
      <c r="H21" s="31">
        <f>'Benefits_freq chng_ex DUML'!$E8/'Benefits_freq chng_ex DUML'!$J$10*'Benefits_freq chng_ex DUML'!$B$58+'Costs_additional audits'!$B$4</f>
        <v>15.585714285714287</v>
      </c>
      <c r="I21" s="31">
        <f>'Benefits_freq chng_ex DUML'!$E8/'Benefits_freq chng_ex DUML'!$J$10*'Benefits_freq chng_ex DUML'!$B$58+'Costs_additional audits'!$B$4</f>
        <v>15.585714285714287</v>
      </c>
      <c r="J21" s="31">
        <f>'Benefits_freq chng_ex DUML'!$E8/'Benefits_freq chng_ex DUML'!$J$10*'Benefits_freq chng_ex DUML'!$B$58+'Costs_additional audits'!$B$4</f>
        <v>15.585714285714287</v>
      </c>
      <c r="K21" s="31">
        <f>'Benefits_freq chng_ex DUML'!$E8/'Benefits_freq chng_ex DUML'!$J$10*'Benefits_freq chng_ex DUML'!$B$58+'Costs_additional audits'!$B$4</f>
        <v>15.585714285714287</v>
      </c>
      <c r="L21" s="31">
        <f>'Benefits_freq chng_ex DUML'!$E8/'Benefits_freq chng_ex DUML'!$J$10*'Benefits_freq chng_ex DUML'!$B$58+'Costs_additional audits'!$B$4</f>
        <v>15.585714285714287</v>
      </c>
      <c r="M21" s="31">
        <f>'Benefits_freq chng_ex DUML'!$E8/'Benefits_freq chng_ex DUML'!$J$10*'Benefits_freq chng_ex DUML'!$B$58+'Costs_additional audits'!$B$4</f>
        <v>15.585714285714287</v>
      </c>
      <c r="N21" s="31">
        <f>'Benefits_freq chng_ex DUML'!$E8/'Benefits_freq chng_ex DUML'!$J$10*'Benefits_freq chng_ex DUML'!$B$58+'Costs_additional audits'!$B$4</f>
        <v>15.585714285714287</v>
      </c>
      <c r="O21" s="31">
        <f>'Benefits_freq chng_ex DUML'!$E8/'Benefits_freq chng_ex DUML'!$J$10*'Benefits_freq chng_ex DUML'!$B$58+'Costs_additional audits'!$B$4</f>
        <v>15.585714285714287</v>
      </c>
      <c r="P21" s="31">
        <f>'Benefits_freq chng_ex DUML'!$E8/'Benefits_freq chng_ex DUML'!$J$10*'Benefits_freq chng_ex DUML'!$B$58+'Costs_additional audits'!$B$4</f>
        <v>15.585714285714287</v>
      </c>
      <c r="Q21" s="31">
        <f>'Benefits_freq chng_ex DUML'!$E8/'Benefits_freq chng_ex DUML'!$J$10*'Benefits_freq chng_ex DUML'!$B$58+'Costs_additional audits'!$B$4</f>
        <v>15.585714285714287</v>
      </c>
      <c r="R21" s="31">
        <f>'Benefits_freq chng_ex DUML'!$E8/'Benefits_freq chng_ex DUML'!$J$10*'Benefits_freq chng_ex DUML'!$B$58+'Costs_additional audits'!$B$4</f>
        <v>15.585714285714287</v>
      </c>
      <c r="S21" s="31">
        <f>'Benefits_freq chng_ex DUML'!$E8/'Benefits_freq chng_ex DUML'!$J$10*'Benefits_freq chng_ex DUML'!$B$58+'Costs_additional audits'!$B$4</f>
        <v>15.585714285714287</v>
      </c>
      <c r="T21" s="31">
        <f>'Benefits_freq chng_ex DUML'!$E8/'Benefits_freq chng_ex DUML'!$J$10*'Benefits_freq chng_ex DUML'!$B$58+'Costs_additional audits'!$B$4</f>
        <v>15.585714285714287</v>
      </c>
      <c r="U21" s="31">
        <f>'Benefits_freq chng_ex DUML'!$E8/'Benefits_freq chng_ex DUML'!$J$10*'Benefits_freq chng_ex DUML'!$B$58+'Costs_additional audits'!$B$4</f>
        <v>15.585714285714287</v>
      </c>
    </row>
    <row r="22" spans="1:21" x14ac:dyDescent="0.25">
      <c r="A22" s="19" t="s">
        <v>122</v>
      </c>
      <c r="B22" s="31">
        <f>'Benefits_freq chng_ex DUML'!$G8/'Benefits_freq chng_ex DUML'!$J$10*'Benefits_freq chng_ex DUML'!$B$58</f>
        <v>0.82857142857142863</v>
      </c>
      <c r="C22" s="31">
        <f>'Benefits_freq chng_ex DUML'!$G8/'Benefits_freq chng_ex DUML'!$J$10*'Benefits_freq chng_ex DUML'!$B$58</f>
        <v>0.82857142857142863</v>
      </c>
      <c r="D22" s="31">
        <f>'Benefits_freq chng_ex DUML'!$G8/'Benefits_freq chng_ex DUML'!$J$10*'Benefits_freq chng_ex DUML'!$B$58</f>
        <v>0.82857142857142863</v>
      </c>
      <c r="E22" s="31">
        <f>'Benefits_freq chng_ex DUML'!$G8/'Benefits_freq chng_ex DUML'!$J$10*'Benefits_freq chng_ex DUML'!$B$58</f>
        <v>0.82857142857142863</v>
      </c>
      <c r="F22" s="31">
        <f>'Benefits_freq chng_ex DUML'!$G8/'Benefits_freq chng_ex DUML'!$J$10*'Benefits_freq chng_ex DUML'!$B$58</f>
        <v>0.82857142857142863</v>
      </c>
      <c r="G22" s="31">
        <f>'Benefits_freq chng_ex DUML'!$G8/'Benefits_freq chng_ex DUML'!$J$10*'Benefits_freq chng_ex DUML'!$B$58</f>
        <v>0.82857142857142863</v>
      </c>
      <c r="H22" s="31">
        <f>'Benefits_freq chng_ex DUML'!$G8/'Benefits_freq chng_ex DUML'!$J$10*'Benefits_freq chng_ex DUML'!$B$58</f>
        <v>0.82857142857142863</v>
      </c>
      <c r="I22" s="31">
        <f>'Benefits_freq chng_ex DUML'!$G8/'Benefits_freq chng_ex DUML'!$J$10*'Benefits_freq chng_ex DUML'!$B$58</f>
        <v>0.82857142857142863</v>
      </c>
      <c r="J22" s="31">
        <f>'Benefits_freq chng_ex DUML'!$G8/'Benefits_freq chng_ex DUML'!$J$10*'Benefits_freq chng_ex DUML'!$B$58</f>
        <v>0.82857142857142863</v>
      </c>
      <c r="K22" s="31">
        <f>'Benefits_freq chng_ex DUML'!$G8/'Benefits_freq chng_ex DUML'!$J$10*'Benefits_freq chng_ex DUML'!$B$58</f>
        <v>0.82857142857142863</v>
      </c>
      <c r="L22" s="31">
        <f>'Benefits_freq chng_ex DUML'!$G8/'Benefits_freq chng_ex DUML'!$J$10*'Benefits_freq chng_ex DUML'!$B$58</f>
        <v>0.82857142857142863</v>
      </c>
      <c r="M22" s="31">
        <f>'Benefits_freq chng_ex DUML'!$G8/'Benefits_freq chng_ex DUML'!$J$10*'Benefits_freq chng_ex DUML'!$B$58</f>
        <v>0.82857142857142863</v>
      </c>
      <c r="N22" s="31">
        <f>'Benefits_freq chng_ex DUML'!$G8/'Benefits_freq chng_ex DUML'!$J$10*'Benefits_freq chng_ex DUML'!$B$58</f>
        <v>0.82857142857142863</v>
      </c>
      <c r="O22" s="31">
        <f>'Benefits_freq chng_ex DUML'!$G8/'Benefits_freq chng_ex DUML'!$J$10*'Benefits_freq chng_ex DUML'!$B$58</f>
        <v>0.82857142857142863</v>
      </c>
      <c r="P22" s="31">
        <f>'Benefits_freq chng_ex DUML'!$G8/'Benefits_freq chng_ex DUML'!$J$10*'Benefits_freq chng_ex DUML'!$B$58</f>
        <v>0.82857142857142863</v>
      </c>
      <c r="Q22" s="31">
        <f>'Benefits_freq chng_ex DUML'!$G8/'Benefits_freq chng_ex DUML'!$J$10*'Benefits_freq chng_ex DUML'!$B$58</f>
        <v>0.82857142857142863</v>
      </c>
      <c r="R22" s="31">
        <f>'Benefits_freq chng_ex DUML'!$G8/'Benefits_freq chng_ex DUML'!$J$10*'Benefits_freq chng_ex DUML'!$B$58</f>
        <v>0.82857142857142863</v>
      </c>
      <c r="S22" s="31">
        <f>'Benefits_freq chng_ex DUML'!$G8/'Benefits_freq chng_ex DUML'!$J$10*'Benefits_freq chng_ex DUML'!$B$58</f>
        <v>0.82857142857142863</v>
      </c>
      <c r="T22" s="31">
        <f>'Benefits_freq chng_ex DUML'!$G8/'Benefits_freq chng_ex DUML'!$J$10*'Benefits_freq chng_ex DUML'!$B$58</f>
        <v>0.82857142857142863</v>
      </c>
      <c r="U22" s="31">
        <f>'Benefits_freq chng_ex DUML'!$G8/'Benefits_freq chng_ex DUML'!$J$10*'Benefits_freq chng_ex DUML'!$B$58</f>
        <v>0.82857142857142863</v>
      </c>
    </row>
    <row r="23" spans="1:21" x14ac:dyDescent="0.25">
      <c r="A23" s="19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x14ac:dyDescent="0.25">
      <c r="A24" s="19" t="s">
        <v>18</v>
      </c>
      <c r="B24" s="76">
        <f>SUM(B12:B22)</f>
        <v>128.44632856431065</v>
      </c>
      <c r="C24" s="76">
        <f t="shared" ref="C24:U24" si="0">SUM(C12:C22)</f>
        <v>123.299277769209</v>
      </c>
      <c r="D24" s="76">
        <f t="shared" si="0"/>
        <v>118.98699083422524</v>
      </c>
      <c r="E24" s="76">
        <f t="shared" si="0"/>
        <v>115.29308131655506</v>
      </c>
      <c r="F24" s="76">
        <f t="shared" si="0"/>
        <v>112.07323648583977</v>
      </c>
      <c r="G24" s="76">
        <f t="shared" si="0"/>
        <v>112.07323648583977</v>
      </c>
      <c r="H24" s="76">
        <f t="shared" si="0"/>
        <v>112.07323648583977</v>
      </c>
      <c r="I24" s="76">
        <f t="shared" si="0"/>
        <v>112.07323648583977</v>
      </c>
      <c r="J24" s="76">
        <f t="shared" si="0"/>
        <v>112.07323648583977</v>
      </c>
      <c r="K24" s="76">
        <f t="shared" si="0"/>
        <v>112.07323648583977</v>
      </c>
      <c r="L24" s="76">
        <f t="shared" si="0"/>
        <v>112.07323648583977</v>
      </c>
      <c r="M24" s="76">
        <f t="shared" si="0"/>
        <v>112.07323648583977</v>
      </c>
      <c r="N24" s="76">
        <f t="shared" si="0"/>
        <v>112.07323648583977</v>
      </c>
      <c r="O24" s="76">
        <f t="shared" si="0"/>
        <v>112.07323648583977</v>
      </c>
      <c r="P24" s="76">
        <f t="shared" si="0"/>
        <v>112.07323648583977</v>
      </c>
      <c r="Q24" s="76">
        <f t="shared" si="0"/>
        <v>112.07323648583977</v>
      </c>
      <c r="R24" s="76">
        <f t="shared" si="0"/>
        <v>112.07323648583977</v>
      </c>
      <c r="S24" s="76">
        <f t="shared" si="0"/>
        <v>112.07323648583977</v>
      </c>
      <c r="T24" s="76">
        <f t="shared" si="0"/>
        <v>112.07323648583977</v>
      </c>
      <c r="U24" s="76">
        <f t="shared" si="0"/>
        <v>112.07323648583977</v>
      </c>
    </row>
    <row r="25" spans="1:21" x14ac:dyDescent="0.25">
      <c r="A25" s="19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1:21" s="93" customFormat="1" x14ac:dyDescent="0.25">
      <c r="A26" s="55" t="s">
        <v>23</v>
      </c>
      <c r="B26" s="94">
        <f>'Benefits_freq chng_DUML'!$B$4*('Benefits_freq chng_DUML'!B$9*12/'Benefits_freq chng_DUML'!$B$16+'Benefits_freq chng_DUML'!B$10*12/'Benefits_freq chng_DUML'!$B$17)</f>
        <v>81.25</v>
      </c>
      <c r="C26" s="94">
        <f>'Benefits_freq chng_DUML'!$B$4*('Benefits_freq chng_DUML'!C$9*12/'Benefits_freq chng_DUML'!$B$16+'Benefits_freq chng_DUML'!C$10*12/'Benefits_freq chng_DUML'!$B$17)</f>
        <v>56.875</v>
      </c>
      <c r="D26" s="94">
        <f>'Benefits_freq chng_DUML'!$B$4*('Benefits_freq chng_DUML'!D$9*12/'Benefits_freq chng_DUML'!$B$16+'Benefits_freq chng_DUML'!D$10*12/'Benefits_freq chng_DUML'!$B$17)</f>
        <v>32.5</v>
      </c>
      <c r="E26" s="94">
        <f>'Benefits_freq chng_DUML'!$B$4*('Benefits_freq chng_DUML'!E$9*12/'Benefits_freq chng_DUML'!$B$16+'Benefits_freq chng_DUML'!E$10*12/'Benefits_freq chng_DUML'!$B$17)</f>
        <v>32.5</v>
      </c>
      <c r="F26" s="94">
        <f>'Benefits_freq chng_DUML'!$B$4*('Benefits_freq chng_DUML'!F$9*12/'Benefits_freq chng_DUML'!$B$16+'Benefits_freq chng_DUML'!F$10*12/'Benefits_freq chng_DUML'!$B$17)</f>
        <v>32.5</v>
      </c>
      <c r="G26" s="94">
        <f>'Benefits_freq chng_DUML'!$B$4*('Benefits_freq chng_DUML'!G$9*12/'Benefits_freq chng_DUML'!$B$16+'Benefits_freq chng_DUML'!G$10*12/'Benefits_freq chng_DUML'!$B$17)</f>
        <v>32.5</v>
      </c>
      <c r="H26" s="94">
        <f>'Benefits_freq chng_DUML'!$B$4*('Benefits_freq chng_DUML'!H$9*12/'Benefits_freq chng_DUML'!$B$16+'Benefits_freq chng_DUML'!H$10*12/'Benefits_freq chng_DUML'!$B$17)</f>
        <v>32.5</v>
      </c>
      <c r="I26" s="94">
        <f>'Benefits_freq chng_DUML'!$B$4*('Benefits_freq chng_DUML'!I$9*12/'Benefits_freq chng_DUML'!$B$16+'Benefits_freq chng_DUML'!I$10*12/'Benefits_freq chng_DUML'!$B$17)</f>
        <v>32.5</v>
      </c>
      <c r="J26" s="94">
        <f>'Benefits_freq chng_DUML'!$B$4*('Benefits_freq chng_DUML'!J$9*12/'Benefits_freq chng_DUML'!$B$16+'Benefits_freq chng_DUML'!J$10*12/'Benefits_freq chng_DUML'!$B$17)</f>
        <v>32.5</v>
      </c>
      <c r="K26" s="94">
        <f>'Benefits_freq chng_DUML'!$B$4*('Benefits_freq chng_DUML'!K$9*12/'Benefits_freq chng_DUML'!$B$16+'Benefits_freq chng_DUML'!K$10*12/'Benefits_freq chng_DUML'!$B$17)</f>
        <v>32.5</v>
      </c>
      <c r="L26" s="94">
        <f>'Benefits_freq chng_DUML'!$B$4*('Benefits_freq chng_DUML'!L$9*12/'Benefits_freq chng_DUML'!$B$16+'Benefits_freq chng_DUML'!L$10*12/'Benefits_freq chng_DUML'!$B$17)</f>
        <v>32.5</v>
      </c>
      <c r="M26" s="94">
        <f>'Benefits_freq chng_DUML'!$B$4*('Benefits_freq chng_DUML'!M$9*12/'Benefits_freq chng_DUML'!$B$16+'Benefits_freq chng_DUML'!M$10*12/'Benefits_freq chng_DUML'!$B$17)</f>
        <v>32.5</v>
      </c>
      <c r="N26" s="94">
        <f>'Benefits_freq chng_DUML'!$B$4*('Benefits_freq chng_DUML'!N$9*12/'Benefits_freq chng_DUML'!$B$16+'Benefits_freq chng_DUML'!N$10*12/'Benefits_freq chng_DUML'!$B$17)</f>
        <v>32.5</v>
      </c>
      <c r="O26" s="94">
        <f>'Benefits_freq chng_DUML'!$B$4*('Benefits_freq chng_DUML'!O$9*12/'Benefits_freq chng_DUML'!$B$16+'Benefits_freq chng_DUML'!O$10*12/'Benefits_freq chng_DUML'!$B$17)</f>
        <v>32.5</v>
      </c>
      <c r="P26" s="94">
        <f>'Benefits_freq chng_DUML'!$B$4*('Benefits_freq chng_DUML'!P$9*12/'Benefits_freq chng_DUML'!$B$16+'Benefits_freq chng_DUML'!P$10*12/'Benefits_freq chng_DUML'!$B$17)</f>
        <v>32.5</v>
      </c>
      <c r="Q26" s="94">
        <f>'Benefits_freq chng_DUML'!$B$4*('Benefits_freq chng_DUML'!Q$9*12/'Benefits_freq chng_DUML'!$B$16+'Benefits_freq chng_DUML'!Q$10*12/'Benefits_freq chng_DUML'!$B$17)</f>
        <v>32.5</v>
      </c>
      <c r="R26" s="94">
        <f>'Benefits_freq chng_DUML'!$B$4*('Benefits_freq chng_DUML'!R$9*12/'Benefits_freq chng_DUML'!$B$16+'Benefits_freq chng_DUML'!R$10*12/'Benefits_freq chng_DUML'!$B$17)</f>
        <v>32.5</v>
      </c>
      <c r="S26" s="94">
        <f>'Benefits_freq chng_DUML'!$B$4*('Benefits_freq chng_DUML'!S$9*12/'Benefits_freq chng_DUML'!$B$16+'Benefits_freq chng_DUML'!S$10*12/'Benefits_freq chng_DUML'!$B$17)</f>
        <v>32.5</v>
      </c>
      <c r="T26" s="94">
        <f>'Benefits_freq chng_DUML'!$B$4*('Benefits_freq chng_DUML'!T$9*12/'Benefits_freq chng_DUML'!$B$16+'Benefits_freq chng_DUML'!T$10*12/'Benefits_freq chng_DUML'!$B$17)</f>
        <v>32.5</v>
      </c>
      <c r="U26" s="94">
        <f>'Benefits_freq chng_DUML'!$B$4*('Benefits_freq chng_DUML'!U$9*12/'Benefits_freq chng_DUML'!$B$16+'Benefits_freq chng_DUML'!U$10*12/'Benefits_freq chng_DUML'!$B$17)</f>
        <v>32.5</v>
      </c>
    </row>
    <row r="27" spans="1:21" x14ac:dyDescent="0.25">
      <c r="D27" s="18"/>
    </row>
    <row r="28" spans="1:21" x14ac:dyDescent="0.25">
      <c r="A28" s="46" t="s">
        <v>150</v>
      </c>
      <c r="B28" s="47"/>
      <c r="C28" s="47"/>
      <c r="D28" s="12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x14ac:dyDescent="0.25">
      <c r="B29" s="19" t="s">
        <v>142</v>
      </c>
      <c r="D29" s="18"/>
    </row>
    <row r="30" spans="1:21" x14ac:dyDescent="0.25">
      <c r="B30" t="s">
        <v>1</v>
      </c>
      <c r="D30" s="18"/>
    </row>
    <row r="31" spans="1:21" x14ac:dyDescent="0.25">
      <c r="B31">
        <v>1</v>
      </c>
      <c r="C31">
        <v>2</v>
      </c>
      <c r="D31">
        <v>3</v>
      </c>
      <c r="E31">
        <v>4</v>
      </c>
      <c r="F31">
        <v>5</v>
      </c>
      <c r="G31">
        <v>6</v>
      </c>
      <c r="H31">
        <v>7</v>
      </c>
      <c r="I31">
        <v>8</v>
      </c>
      <c r="J31">
        <v>9</v>
      </c>
      <c r="K31">
        <v>10</v>
      </c>
      <c r="L31">
        <v>11</v>
      </c>
      <c r="M31">
        <v>12</v>
      </c>
      <c r="N31">
        <v>13</v>
      </c>
      <c r="O31">
        <v>14</v>
      </c>
      <c r="P31">
        <v>15</v>
      </c>
      <c r="Q31">
        <v>16</v>
      </c>
      <c r="R31">
        <v>17</v>
      </c>
      <c r="S31">
        <v>18</v>
      </c>
      <c r="T31">
        <v>19</v>
      </c>
      <c r="U31">
        <v>20</v>
      </c>
    </row>
    <row r="32" spans="1:21" x14ac:dyDescent="0.25">
      <c r="A32" s="5" t="s">
        <v>143</v>
      </c>
      <c r="D32" s="18"/>
    </row>
    <row r="33" spans="1:21" x14ac:dyDescent="0.25">
      <c r="A33" s="43" t="s">
        <v>144</v>
      </c>
      <c r="D33" s="18"/>
    </row>
    <row r="34" spans="1:21" x14ac:dyDescent="0.25">
      <c r="A34" s="37" t="s">
        <v>88</v>
      </c>
      <c r="B34" s="52">
        <v>0.5</v>
      </c>
      <c r="C34" s="52">
        <v>0.5</v>
      </c>
      <c r="D34" s="52">
        <v>0.5</v>
      </c>
      <c r="E34" s="52">
        <v>0.5</v>
      </c>
      <c r="F34" s="52">
        <v>0.5</v>
      </c>
      <c r="G34" s="52">
        <v>0.5</v>
      </c>
      <c r="H34" s="52">
        <v>0.5</v>
      </c>
      <c r="I34" s="52">
        <v>0.5</v>
      </c>
      <c r="J34" s="52">
        <v>0.5</v>
      </c>
      <c r="K34" s="52">
        <v>0.5</v>
      </c>
      <c r="L34" s="52">
        <v>0.5</v>
      </c>
      <c r="M34" s="52">
        <v>0.5</v>
      </c>
      <c r="N34" s="52">
        <v>0.5</v>
      </c>
      <c r="O34" s="52">
        <v>0.5</v>
      </c>
      <c r="P34" s="52">
        <v>0.5</v>
      </c>
      <c r="Q34" s="52">
        <v>0.5</v>
      </c>
      <c r="R34" s="52">
        <v>0.5</v>
      </c>
      <c r="S34" s="52">
        <v>0.5</v>
      </c>
      <c r="T34" s="52">
        <v>0.5</v>
      </c>
      <c r="U34" s="52">
        <v>0.5</v>
      </c>
    </row>
    <row r="35" spans="1:21" x14ac:dyDescent="0.25">
      <c r="A35" s="37" t="s">
        <v>87</v>
      </c>
      <c r="B35" s="52">
        <v>1</v>
      </c>
      <c r="C35" s="52">
        <v>1</v>
      </c>
      <c r="D35" s="52">
        <v>1</v>
      </c>
      <c r="E35" s="52">
        <v>1</v>
      </c>
      <c r="F35" s="52">
        <v>1</v>
      </c>
      <c r="G35" s="52">
        <v>1</v>
      </c>
      <c r="H35" s="52">
        <v>1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</v>
      </c>
    </row>
    <row r="36" spans="1:21" x14ac:dyDescent="0.25">
      <c r="A36" s="37" t="s">
        <v>41</v>
      </c>
      <c r="B36" s="52">
        <v>0.5</v>
      </c>
      <c r="C36" s="52">
        <v>0.5</v>
      </c>
      <c r="D36" s="52">
        <v>0.5</v>
      </c>
      <c r="E36" s="52">
        <v>0.5</v>
      </c>
      <c r="F36" s="52">
        <v>0.5</v>
      </c>
      <c r="G36" s="52">
        <v>0.5</v>
      </c>
      <c r="H36" s="52">
        <v>0.5</v>
      </c>
      <c r="I36" s="52">
        <v>0.5</v>
      </c>
      <c r="J36" s="52">
        <v>0.5</v>
      </c>
      <c r="K36" s="52">
        <v>0.5</v>
      </c>
      <c r="L36" s="52">
        <v>0.5</v>
      </c>
      <c r="M36" s="52">
        <v>0.5</v>
      </c>
      <c r="N36" s="52">
        <v>0.5</v>
      </c>
      <c r="O36" s="52">
        <v>0.5</v>
      </c>
      <c r="P36" s="52">
        <v>0.5</v>
      </c>
      <c r="Q36" s="52">
        <v>0.5</v>
      </c>
      <c r="R36" s="52">
        <v>0.5</v>
      </c>
      <c r="S36" s="52">
        <v>0.5</v>
      </c>
      <c r="T36" s="52">
        <v>0.5</v>
      </c>
      <c r="U36" s="52">
        <v>0.5</v>
      </c>
    </row>
    <row r="37" spans="1:21" x14ac:dyDescent="0.25">
      <c r="A37" s="37" t="s">
        <v>178</v>
      </c>
      <c r="B37" s="52">
        <f>1/30</f>
        <v>3.3333333333333333E-2</v>
      </c>
      <c r="C37" s="52">
        <f t="shared" ref="C37:U37" si="1">1/30</f>
        <v>3.3333333333333333E-2</v>
      </c>
      <c r="D37" s="52">
        <f t="shared" si="1"/>
        <v>3.3333333333333333E-2</v>
      </c>
      <c r="E37" s="52">
        <f t="shared" si="1"/>
        <v>3.3333333333333333E-2</v>
      </c>
      <c r="F37" s="52">
        <f t="shared" si="1"/>
        <v>3.3333333333333333E-2</v>
      </c>
      <c r="G37" s="52">
        <f t="shared" si="1"/>
        <v>3.3333333333333333E-2</v>
      </c>
      <c r="H37" s="52">
        <f t="shared" si="1"/>
        <v>3.3333333333333333E-2</v>
      </c>
      <c r="I37" s="52">
        <f t="shared" si="1"/>
        <v>3.3333333333333333E-2</v>
      </c>
      <c r="J37" s="52">
        <f t="shared" si="1"/>
        <v>3.3333333333333333E-2</v>
      </c>
      <c r="K37" s="52">
        <f t="shared" si="1"/>
        <v>3.3333333333333333E-2</v>
      </c>
      <c r="L37" s="52">
        <f t="shared" si="1"/>
        <v>3.3333333333333333E-2</v>
      </c>
      <c r="M37" s="52">
        <f t="shared" si="1"/>
        <v>3.3333333333333333E-2</v>
      </c>
      <c r="N37" s="52">
        <f t="shared" si="1"/>
        <v>3.3333333333333333E-2</v>
      </c>
      <c r="O37" s="52">
        <f t="shared" si="1"/>
        <v>3.3333333333333333E-2</v>
      </c>
      <c r="P37" s="52">
        <f t="shared" si="1"/>
        <v>3.3333333333333333E-2</v>
      </c>
      <c r="Q37" s="52">
        <f t="shared" si="1"/>
        <v>3.3333333333333333E-2</v>
      </c>
      <c r="R37" s="52">
        <f t="shared" si="1"/>
        <v>3.3333333333333333E-2</v>
      </c>
      <c r="S37" s="52">
        <f t="shared" si="1"/>
        <v>3.3333333333333333E-2</v>
      </c>
      <c r="T37" s="52">
        <f t="shared" si="1"/>
        <v>3.3333333333333333E-2</v>
      </c>
      <c r="U37" s="52">
        <f t="shared" si="1"/>
        <v>3.3333333333333333E-2</v>
      </c>
    </row>
    <row r="38" spans="1:21" x14ac:dyDescent="0.25">
      <c r="A38" s="43" t="s">
        <v>145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37" t="s">
        <v>88</v>
      </c>
      <c r="B39" s="52">
        <v>1</v>
      </c>
      <c r="C39" s="52">
        <v>1</v>
      </c>
      <c r="D39" s="52">
        <v>1</v>
      </c>
      <c r="E39" s="52">
        <v>1</v>
      </c>
      <c r="F39" s="52">
        <v>1</v>
      </c>
      <c r="G39" s="52">
        <v>1</v>
      </c>
      <c r="H39" s="52">
        <v>1</v>
      </c>
      <c r="I39" s="52">
        <v>1</v>
      </c>
      <c r="J39" s="52">
        <v>1</v>
      </c>
      <c r="K39" s="52">
        <v>1</v>
      </c>
      <c r="L39" s="52">
        <v>1</v>
      </c>
      <c r="M39" s="52">
        <v>1</v>
      </c>
      <c r="N39" s="52">
        <v>1</v>
      </c>
      <c r="O39" s="52">
        <v>1</v>
      </c>
      <c r="P39" s="52">
        <v>1</v>
      </c>
      <c r="Q39" s="52">
        <v>1</v>
      </c>
      <c r="R39" s="52">
        <v>1</v>
      </c>
      <c r="S39" s="52">
        <v>1</v>
      </c>
      <c r="T39" s="52">
        <v>1</v>
      </c>
      <c r="U39" s="52">
        <v>1</v>
      </c>
    </row>
    <row r="40" spans="1:21" x14ac:dyDescent="0.25">
      <c r="A40" s="37" t="s">
        <v>87</v>
      </c>
      <c r="B40" s="52">
        <v>1.75</v>
      </c>
      <c r="C40" s="52">
        <v>1.75</v>
      </c>
      <c r="D40" s="52">
        <v>1.75</v>
      </c>
      <c r="E40" s="52">
        <v>1.75</v>
      </c>
      <c r="F40" s="52">
        <v>1.75</v>
      </c>
      <c r="G40" s="52">
        <v>1.75</v>
      </c>
      <c r="H40" s="52">
        <v>1.75</v>
      </c>
      <c r="I40" s="52">
        <v>1.75</v>
      </c>
      <c r="J40" s="52">
        <v>1.75</v>
      </c>
      <c r="K40" s="52">
        <v>1.75</v>
      </c>
      <c r="L40" s="52">
        <v>1.75</v>
      </c>
      <c r="M40" s="52">
        <v>1.75</v>
      </c>
      <c r="N40" s="52">
        <v>1.75</v>
      </c>
      <c r="O40" s="52">
        <v>1.75</v>
      </c>
      <c r="P40" s="52">
        <v>1.75</v>
      </c>
      <c r="Q40" s="52">
        <v>1.75</v>
      </c>
      <c r="R40" s="52">
        <v>1.75</v>
      </c>
      <c r="S40" s="52">
        <v>1.75</v>
      </c>
      <c r="T40" s="52">
        <v>1.75</v>
      </c>
      <c r="U40" s="52">
        <v>1.75</v>
      </c>
    </row>
    <row r="41" spans="1:21" x14ac:dyDescent="0.25">
      <c r="A41" s="37" t="s">
        <v>41</v>
      </c>
      <c r="B41" s="52">
        <v>2.25</v>
      </c>
      <c r="C41" s="52">
        <v>2.25</v>
      </c>
      <c r="D41" s="52">
        <v>2.25</v>
      </c>
      <c r="E41" s="52">
        <v>2.25</v>
      </c>
      <c r="F41" s="52">
        <v>2.25</v>
      </c>
      <c r="G41" s="52">
        <v>2.25</v>
      </c>
      <c r="H41" s="52">
        <v>2.25</v>
      </c>
      <c r="I41" s="52">
        <v>2.25</v>
      </c>
      <c r="J41" s="52">
        <v>2.25</v>
      </c>
      <c r="K41" s="52">
        <v>2.25</v>
      </c>
      <c r="L41" s="52">
        <v>2.25</v>
      </c>
      <c r="M41" s="52">
        <v>2.25</v>
      </c>
      <c r="N41" s="52">
        <v>2.25</v>
      </c>
      <c r="O41" s="52">
        <v>2.25</v>
      </c>
      <c r="P41" s="52">
        <v>2.25</v>
      </c>
      <c r="Q41" s="52">
        <v>2.25</v>
      </c>
      <c r="R41" s="52">
        <v>2.25</v>
      </c>
      <c r="S41" s="52">
        <v>2.25</v>
      </c>
      <c r="T41" s="52">
        <v>2.25</v>
      </c>
      <c r="U41" s="52">
        <v>2.25</v>
      </c>
    </row>
    <row r="42" spans="1:21" x14ac:dyDescent="0.25">
      <c r="A42" s="37" t="s">
        <v>156</v>
      </c>
      <c r="B42" s="52">
        <v>0.25</v>
      </c>
      <c r="C42" s="52">
        <v>0.25</v>
      </c>
      <c r="D42" s="52">
        <v>0.25</v>
      </c>
      <c r="E42" s="52">
        <v>0.25</v>
      </c>
      <c r="F42" s="52">
        <v>0.25</v>
      </c>
      <c r="G42" s="52">
        <v>0.25</v>
      </c>
      <c r="H42" s="52">
        <v>0.25</v>
      </c>
      <c r="I42" s="52">
        <v>0.25</v>
      </c>
      <c r="J42" s="52">
        <v>0.25</v>
      </c>
      <c r="K42" s="52">
        <v>0.25</v>
      </c>
      <c r="L42" s="52">
        <v>0.25</v>
      </c>
      <c r="M42" s="52">
        <v>0.25</v>
      </c>
      <c r="N42" s="52">
        <v>0.25</v>
      </c>
      <c r="O42" s="52">
        <v>0.25</v>
      </c>
      <c r="P42" s="52">
        <v>0.25</v>
      </c>
      <c r="Q42" s="52">
        <v>0.25</v>
      </c>
      <c r="R42" s="52">
        <v>0.25</v>
      </c>
      <c r="S42" s="52">
        <v>0.25</v>
      </c>
      <c r="T42" s="52">
        <v>0.25</v>
      </c>
      <c r="U42" s="52">
        <v>0.25</v>
      </c>
    </row>
    <row r="43" spans="1:21" x14ac:dyDescent="0.25">
      <c r="A43" s="37" t="s">
        <v>157</v>
      </c>
      <c r="B43" s="52">
        <v>1</v>
      </c>
      <c r="C43" s="52">
        <v>1</v>
      </c>
      <c r="D43" s="52">
        <v>1</v>
      </c>
      <c r="E43" s="52">
        <v>1</v>
      </c>
      <c r="F43" s="52">
        <v>1</v>
      </c>
      <c r="G43" s="52">
        <v>1</v>
      </c>
      <c r="H43" s="52">
        <v>1</v>
      </c>
      <c r="I43" s="52">
        <v>1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1</v>
      </c>
      <c r="Q43" s="52">
        <v>1</v>
      </c>
      <c r="R43" s="52">
        <v>1</v>
      </c>
      <c r="S43" s="52">
        <v>1</v>
      </c>
      <c r="T43" s="52">
        <v>1</v>
      </c>
      <c r="U43" s="52">
        <v>1</v>
      </c>
    </row>
    <row r="44" spans="1:21" x14ac:dyDescent="0.25">
      <c r="A44" s="8"/>
      <c r="B44" s="8"/>
      <c r="C44" s="8"/>
      <c r="D44" s="23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x14ac:dyDescent="0.25">
      <c r="A45" s="129" t="s">
        <v>210</v>
      </c>
      <c r="B45" s="8"/>
      <c r="C45" s="8"/>
      <c r="D45" s="23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x14ac:dyDescent="0.25">
      <c r="A46" s="5" t="s">
        <v>148</v>
      </c>
      <c r="D46" s="18"/>
    </row>
    <row r="47" spans="1:21" x14ac:dyDescent="0.25">
      <c r="A47" s="43" t="s">
        <v>144</v>
      </c>
      <c r="D47" s="18"/>
    </row>
    <row r="48" spans="1:21" x14ac:dyDescent="0.25">
      <c r="A48" s="37" t="s">
        <v>88</v>
      </c>
      <c r="B48" s="7">
        <f>B34*1.25</f>
        <v>0.625</v>
      </c>
      <c r="C48" s="7">
        <f t="shared" ref="C48:U51" si="2">C34*1.25</f>
        <v>0.625</v>
      </c>
      <c r="D48" s="7">
        <f t="shared" si="2"/>
        <v>0.625</v>
      </c>
      <c r="E48" s="7">
        <f t="shared" si="2"/>
        <v>0.625</v>
      </c>
      <c r="F48" s="7">
        <f t="shared" si="2"/>
        <v>0.625</v>
      </c>
      <c r="G48" s="7">
        <f t="shared" si="2"/>
        <v>0.625</v>
      </c>
      <c r="H48" s="7">
        <f t="shared" si="2"/>
        <v>0.625</v>
      </c>
      <c r="I48" s="7">
        <f t="shared" si="2"/>
        <v>0.625</v>
      </c>
      <c r="J48" s="7">
        <f t="shared" si="2"/>
        <v>0.625</v>
      </c>
      <c r="K48" s="7">
        <f t="shared" si="2"/>
        <v>0.625</v>
      </c>
      <c r="L48" s="7">
        <f t="shared" si="2"/>
        <v>0.625</v>
      </c>
      <c r="M48" s="7">
        <f t="shared" si="2"/>
        <v>0.625</v>
      </c>
      <c r="N48" s="7">
        <f t="shared" si="2"/>
        <v>0.625</v>
      </c>
      <c r="O48" s="7">
        <f t="shared" si="2"/>
        <v>0.625</v>
      </c>
      <c r="P48" s="7">
        <f t="shared" si="2"/>
        <v>0.625</v>
      </c>
      <c r="Q48" s="7">
        <f t="shared" si="2"/>
        <v>0.625</v>
      </c>
      <c r="R48" s="7">
        <f t="shared" si="2"/>
        <v>0.625</v>
      </c>
      <c r="S48" s="7">
        <f t="shared" si="2"/>
        <v>0.625</v>
      </c>
      <c r="T48" s="7">
        <f t="shared" si="2"/>
        <v>0.625</v>
      </c>
      <c r="U48" s="7">
        <f t="shared" si="2"/>
        <v>0.625</v>
      </c>
    </row>
    <row r="49" spans="1:21" x14ac:dyDescent="0.25">
      <c r="A49" s="37" t="s">
        <v>87</v>
      </c>
      <c r="B49" s="7">
        <f t="shared" ref="B49:Q51" si="3">B35*1.25</f>
        <v>1.25</v>
      </c>
      <c r="C49" s="7">
        <f t="shared" si="3"/>
        <v>1.25</v>
      </c>
      <c r="D49" s="7">
        <f t="shared" si="3"/>
        <v>1.25</v>
      </c>
      <c r="E49" s="7">
        <f t="shared" si="3"/>
        <v>1.25</v>
      </c>
      <c r="F49" s="7">
        <f t="shared" si="3"/>
        <v>1.25</v>
      </c>
      <c r="G49" s="7">
        <f t="shared" si="3"/>
        <v>1.25</v>
      </c>
      <c r="H49" s="7">
        <f t="shared" si="3"/>
        <v>1.25</v>
      </c>
      <c r="I49" s="7">
        <f t="shared" si="3"/>
        <v>1.25</v>
      </c>
      <c r="J49" s="7">
        <f t="shared" si="3"/>
        <v>1.25</v>
      </c>
      <c r="K49" s="7">
        <f t="shared" si="3"/>
        <v>1.25</v>
      </c>
      <c r="L49" s="7">
        <f t="shared" si="3"/>
        <v>1.25</v>
      </c>
      <c r="M49" s="7">
        <f t="shared" si="3"/>
        <v>1.25</v>
      </c>
      <c r="N49" s="7">
        <f t="shared" si="3"/>
        <v>1.25</v>
      </c>
      <c r="O49" s="7">
        <f t="shared" si="3"/>
        <v>1.25</v>
      </c>
      <c r="P49" s="7">
        <f t="shared" si="3"/>
        <v>1.25</v>
      </c>
      <c r="Q49" s="7">
        <f t="shared" si="3"/>
        <v>1.25</v>
      </c>
      <c r="R49" s="7">
        <f t="shared" si="2"/>
        <v>1.25</v>
      </c>
      <c r="S49" s="7">
        <f t="shared" si="2"/>
        <v>1.25</v>
      </c>
      <c r="T49" s="7">
        <f t="shared" si="2"/>
        <v>1.25</v>
      </c>
      <c r="U49" s="7">
        <f t="shared" si="2"/>
        <v>1.25</v>
      </c>
    </row>
    <row r="50" spans="1:21" x14ac:dyDescent="0.25">
      <c r="A50" s="37" t="s">
        <v>41</v>
      </c>
      <c r="B50" s="7">
        <f t="shared" si="3"/>
        <v>0.625</v>
      </c>
      <c r="C50" s="7">
        <f t="shared" si="2"/>
        <v>0.625</v>
      </c>
      <c r="D50" s="7">
        <f t="shared" si="2"/>
        <v>0.625</v>
      </c>
      <c r="E50" s="7">
        <f t="shared" si="2"/>
        <v>0.625</v>
      </c>
      <c r="F50" s="7">
        <f t="shared" si="2"/>
        <v>0.625</v>
      </c>
      <c r="G50" s="7">
        <f t="shared" si="2"/>
        <v>0.625</v>
      </c>
      <c r="H50" s="7">
        <f t="shared" si="2"/>
        <v>0.625</v>
      </c>
      <c r="I50" s="7">
        <f t="shared" si="2"/>
        <v>0.625</v>
      </c>
      <c r="J50" s="7">
        <f t="shared" si="2"/>
        <v>0.625</v>
      </c>
      <c r="K50" s="7">
        <f t="shared" si="2"/>
        <v>0.625</v>
      </c>
      <c r="L50" s="7">
        <f t="shared" si="2"/>
        <v>0.625</v>
      </c>
      <c r="M50" s="7">
        <f t="shared" si="2"/>
        <v>0.625</v>
      </c>
      <c r="N50" s="7">
        <f t="shared" si="2"/>
        <v>0.625</v>
      </c>
      <c r="O50" s="7">
        <f t="shared" si="2"/>
        <v>0.625</v>
      </c>
      <c r="P50" s="7">
        <f t="shared" si="2"/>
        <v>0.625</v>
      </c>
      <c r="Q50" s="7">
        <f t="shared" si="2"/>
        <v>0.625</v>
      </c>
      <c r="R50" s="7">
        <f t="shared" si="2"/>
        <v>0.625</v>
      </c>
      <c r="S50" s="7">
        <f t="shared" si="2"/>
        <v>0.625</v>
      </c>
      <c r="T50" s="7">
        <f t="shared" si="2"/>
        <v>0.625</v>
      </c>
      <c r="U50" s="7">
        <f t="shared" si="2"/>
        <v>0.625</v>
      </c>
    </row>
    <row r="51" spans="1:21" x14ac:dyDescent="0.25">
      <c r="A51" s="37" t="s">
        <v>178</v>
      </c>
      <c r="B51" s="7">
        <f t="shared" si="3"/>
        <v>4.1666666666666664E-2</v>
      </c>
      <c r="C51" s="7">
        <f t="shared" si="3"/>
        <v>4.1666666666666664E-2</v>
      </c>
      <c r="D51" s="7">
        <f t="shared" si="3"/>
        <v>4.1666666666666664E-2</v>
      </c>
      <c r="E51" s="7">
        <f t="shared" si="3"/>
        <v>4.1666666666666664E-2</v>
      </c>
      <c r="F51" s="7">
        <f t="shared" si="3"/>
        <v>4.1666666666666664E-2</v>
      </c>
      <c r="G51" s="7">
        <f t="shared" si="3"/>
        <v>4.1666666666666664E-2</v>
      </c>
      <c r="H51" s="7">
        <f t="shared" si="3"/>
        <v>4.1666666666666664E-2</v>
      </c>
      <c r="I51" s="7">
        <f t="shared" si="3"/>
        <v>4.1666666666666664E-2</v>
      </c>
      <c r="J51" s="7">
        <f t="shared" si="3"/>
        <v>4.1666666666666664E-2</v>
      </c>
      <c r="K51" s="7">
        <f t="shared" si="3"/>
        <v>4.1666666666666664E-2</v>
      </c>
      <c r="L51" s="7">
        <f t="shared" si="3"/>
        <v>4.1666666666666664E-2</v>
      </c>
      <c r="M51" s="7">
        <f t="shared" si="3"/>
        <v>4.1666666666666664E-2</v>
      </c>
      <c r="N51" s="7">
        <f t="shared" si="3"/>
        <v>4.1666666666666664E-2</v>
      </c>
      <c r="O51" s="7">
        <f t="shared" si="3"/>
        <v>4.1666666666666664E-2</v>
      </c>
      <c r="P51" s="7">
        <f t="shared" si="3"/>
        <v>4.1666666666666664E-2</v>
      </c>
      <c r="Q51" s="7">
        <f t="shared" si="3"/>
        <v>4.1666666666666664E-2</v>
      </c>
      <c r="R51" s="7">
        <f t="shared" si="2"/>
        <v>4.1666666666666664E-2</v>
      </c>
      <c r="S51" s="7">
        <f t="shared" si="2"/>
        <v>4.1666666666666664E-2</v>
      </c>
      <c r="T51" s="7">
        <f t="shared" si="2"/>
        <v>4.1666666666666664E-2</v>
      </c>
      <c r="U51" s="7">
        <f t="shared" si="2"/>
        <v>4.1666666666666664E-2</v>
      </c>
    </row>
    <row r="52" spans="1:21" x14ac:dyDescent="0.25">
      <c r="A52" s="43" t="s">
        <v>145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37" t="s">
        <v>88</v>
      </c>
      <c r="B53" s="7">
        <f t="shared" ref="B53:B54" si="4">B39*0.75</f>
        <v>0.75</v>
      </c>
      <c r="C53" s="7">
        <f t="shared" ref="C53:U55" si="5">C39*0.75</f>
        <v>0.75</v>
      </c>
      <c r="D53" s="7">
        <f t="shared" si="5"/>
        <v>0.75</v>
      </c>
      <c r="E53" s="7">
        <f t="shared" si="5"/>
        <v>0.75</v>
      </c>
      <c r="F53" s="7">
        <f t="shared" si="5"/>
        <v>0.75</v>
      </c>
      <c r="G53" s="7">
        <f t="shared" si="5"/>
        <v>0.75</v>
      </c>
      <c r="H53" s="7">
        <f t="shared" si="5"/>
        <v>0.75</v>
      </c>
      <c r="I53" s="7">
        <f t="shared" si="5"/>
        <v>0.75</v>
      </c>
      <c r="J53" s="7">
        <f t="shared" si="5"/>
        <v>0.75</v>
      </c>
      <c r="K53" s="7">
        <f t="shared" si="5"/>
        <v>0.75</v>
      </c>
      <c r="L53" s="7">
        <f t="shared" si="5"/>
        <v>0.75</v>
      </c>
      <c r="M53" s="7">
        <f t="shared" si="5"/>
        <v>0.75</v>
      </c>
      <c r="N53" s="7">
        <f t="shared" si="5"/>
        <v>0.75</v>
      </c>
      <c r="O53" s="7">
        <f t="shared" si="5"/>
        <v>0.75</v>
      </c>
      <c r="P53" s="7">
        <f t="shared" si="5"/>
        <v>0.75</v>
      </c>
      <c r="Q53" s="7">
        <f t="shared" si="5"/>
        <v>0.75</v>
      </c>
      <c r="R53" s="7">
        <f t="shared" si="5"/>
        <v>0.75</v>
      </c>
      <c r="S53" s="7">
        <f t="shared" si="5"/>
        <v>0.75</v>
      </c>
      <c r="T53" s="7">
        <f t="shared" si="5"/>
        <v>0.75</v>
      </c>
      <c r="U53" s="7">
        <f t="shared" si="5"/>
        <v>0.75</v>
      </c>
    </row>
    <row r="54" spans="1:21" x14ac:dyDescent="0.25">
      <c r="A54" s="37" t="s">
        <v>87</v>
      </c>
      <c r="B54" s="7">
        <f t="shared" si="4"/>
        <v>1.3125</v>
      </c>
      <c r="C54" s="7">
        <f t="shared" si="5"/>
        <v>1.3125</v>
      </c>
      <c r="D54" s="7">
        <f t="shared" si="5"/>
        <v>1.3125</v>
      </c>
      <c r="E54" s="7">
        <f t="shared" si="5"/>
        <v>1.3125</v>
      </c>
      <c r="F54" s="7">
        <f t="shared" si="5"/>
        <v>1.3125</v>
      </c>
      <c r="G54" s="7">
        <f t="shared" si="5"/>
        <v>1.3125</v>
      </c>
      <c r="H54" s="7">
        <f t="shared" si="5"/>
        <v>1.3125</v>
      </c>
      <c r="I54" s="7">
        <f t="shared" si="5"/>
        <v>1.3125</v>
      </c>
      <c r="J54" s="7">
        <f t="shared" si="5"/>
        <v>1.3125</v>
      </c>
      <c r="K54" s="7">
        <f t="shared" si="5"/>
        <v>1.3125</v>
      </c>
      <c r="L54" s="7">
        <f t="shared" si="5"/>
        <v>1.3125</v>
      </c>
      <c r="M54" s="7">
        <f t="shared" si="5"/>
        <v>1.3125</v>
      </c>
      <c r="N54" s="7">
        <f t="shared" si="5"/>
        <v>1.3125</v>
      </c>
      <c r="O54" s="7">
        <f t="shared" si="5"/>
        <v>1.3125</v>
      </c>
      <c r="P54" s="7">
        <f t="shared" si="5"/>
        <v>1.3125</v>
      </c>
      <c r="Q54" s="7">
        <f t="shared" si="5"/>
        <v>1.3125</v>
      </c>
      <c r="R54" s="7">
        <f t="shared" si="5"/>
        <v>1.3125</v>
      </c>
      <c r="S54" s="7">
        <f t="shared" si="5"/>
        <v>1.3125</v>
      </c>
      <c r="T54" s="7">
        <f t="shared" si="5"/>
        <v>1.3125</v>
      </c>
      <c r="U54" s="7">
        <f t="shared" si="5"/>
        <v>1.3125</v>
      </c>
    </row>
    <row r="55" spans="1:21" x14ac:dyDescent="0.25">
      <c r="A55" s="37" t="s">
        <v>41</v>
      </c>
      <c r="B55" s="7">
        <f>B41*0.75</f>
        <v>1.6875</v>
      </c>
      <c r="C55" s="7">
        <f t="shared" si="5"/>
        <v>1.6875</v>
      </c>
      <c r="D55" s="7">
        <f t="shared" si="5"/>
        <v>1.6875</v>
      </c>
      <c r="E55" s="7">
        <f t="shared" si="5"/>
        <v>1.6875</v>
      </c>
      <c r="F55" s="7">
        <f t="shared" si="5"/>
        <v>1.6875</v>
      </c>
      <c r="G55" s="7">
        <f t="shared" si="5"/>
        <v>1.6875</v>
      </c>
      <c r="H55" s="7">
        <f t="shared" si="5"/>
        <v>1.6875</v>
      </c>
      <c r="I55" s="7">
        <f t="shared" si="5"/>
        <v>1.6875</v>
      </c>
      <c r="J55" s="7">
        <f t="shared" si="5"/>
        <v>1.6875</v>
      </c>
      <c r="K55" s="7">
        <f t="shared" si="5"/>
        <v>1.6875</v>
      </c>
      <c r="L55" s="7">
        <f t="shared" si="5"/>
        <v>1.6875</v>
      </c>
      <c r="M55" s="7">
        <f t="shared" si="5"/>
        <v>1.6875</v>
      </c>
      <c r="N55" s="7">
        <f t="shared" si="5"/>
        <v>1.6875</v>
      </c>
      <c r="O55" s="7">
        <f t="shared" si="5"/>
        <v>1.6875</v>
      </c>
      <c r="P55" s="7">
        <f t="shared" si="5"/>
        <v>1.6875</v>
      </c>
      <c r="Q55" s="7">
        <f t="shared" si="5"/>
        <v>1.6875</v>
      </c>
      <c r="R55" s="7">
        <f t="shared" si="5"/>
        <v>1.6875</v>
      </c>
      <c r="S55" s="7">
        <f t="shared" si="5"/>
        <v>1.6875</v>
      </c>
      <c r="T55" s="7">
        <f t="shared" si="5"/>
        <v>1.6875</v>
      </c>
      <c r="U55" s="7">
        <f t="shared" si="5"/>
        <v>1.6875</v>
      </c>
    </row>
    <row r="56" spans="1:21" x14ac:dyDescent="0.25">
      <c r="A56" s="37" t="s">
        <v>156</v>
      </c>
      <c r="B56" s="7">
        <f t="shared" ref="B56:U56" si="6">B42*0.75</f>
        <v>0.1875</v>
      </c>
      <c r="C56" s="7">
        <f t="shared" si="6"/>
        <v>0.1875</v>
      </c>
      <c r="D56" s="7">
        <f t="shared" si="6"/>
        <v>0.1875</v>
      </c>
      <c r="E56" s="7">
        <f t="shared" si="6"/>
        <v>0.1875</v>
      </c>
      <c r="F56" s="7">
        <f t="shared" si="6"/>
        <v>0.1875</v>
      </c>
      <c r="G56" s="7">
        <f t="shared" si="6"/>
        <v>0.1875</v>
      </c>
      <c r="H56" s="7">
        <f t="shared" si="6"/>
        <v>0.1875</v>
      </c>
      <c r="I56" s="7">
        <f t="shared" si="6"/>
        <v>0.1875</v>
      </c>
      <c r="J56" s="7">
        <f t="shared" si="6"/>
        <v>0.1875</v>
      </c>
      <c r="K56" s="7">
        <f t="shared" si="6"/>
        <v>0.1875</v>
      </c>
      <c r="L56" s="7">
        <f t="shared" si="6"/>
        <v>0.1875</v>
      </c>
      <c r="M56" s="7">
        <f t="shared" si="6"/>
        <v>0.1875</v>
      </c>
      <c r="N56" s="7">
        <f t="shared" si="6"/>
        <v>0.1875</v>
      </c>
      <c r="O56" s="7">
        <f t="shared" si="6"/>
        <v>0.1875</v>
      </c>
      <c r="P56" s="7">
        <f t="shared" si="6"/>
        <v>0.1875</v>
      </c>
      <c r="Q56" s="7">
        <f t="shared" si="6"/>
        <v>0.1875</v>
      </c>
      <c r="R56" s="7">
        <f t="shared" si="6"/>
        <v>0.1875</v>
      </c>
      <c r="S56" s="7">
        <f t="shared" si="6"/>
        <v>0.1875</v>
      </c>
      <c r="T56" s="7">
        <f t="shared" si="6"/>
        <v>0.1875</v>
      </c>
      <c r="U56" s="7">
        <f t="shared" si="6"/>
        <v>0.1875</v>
      </c>
    </row>
    <row r="57" spans="1:21" x14ac:dyDescent="0.25">
      <c r="A57" s="37" t="s">
        <v>157</v>
      </c>
      <c r="B57" s="7">
        <f t="shared" ref="B57:U57" si="7">B43*0.75</f>
        <v>0.75</v>
      </c>
      <c r="C57" s="7">
        <f t="shared" si="7"/>
        <v>0.75</v>
      </c>
      <c r="D57" s="7">
        <f t="shared" si="7"/>
        <v>0.75</v>
      </c>
      <c r="E57" s="7">
        <f t="shared" si="7"/>
        <v>0.75</v>
      </c>
      <c r="F57" s="7">
        <f t="shared" si="7"/>
        <v>0.75</v>
      </c>
      <c r="G57" s="7">
        <f t="shared" si="7"/>
        <v>0.75</v>
      </c>
      <c r="H57" s="7">
        <f t="shared" si="7"/>
        <v>0.75</v>
      </c>
      <c r="I57" s="7">
        <f t="shared" si="7"/>
        <v>0.75</v>
      </c>
      <c r="J57" s="7">
        <f t="shared" si="7"/>
        <v>0.75</v>
      </c>
      <c r="K57" s="7">
        <f t="shared" si="7"/>
        <v>0.75</v>
      </c>
      <c r="L57" s="7">
        <f t="shared" si="7"/>
        <v>0.75</v>
      </c>
      <c r="M57" s="7">
        <f t="shared" si="7"/>
        <v>0.75</v>
      </c>
      <c r="N57" s="7">
        <f t="shared" si="7"/>
        <v>0.75</v>
      </c>
      <c r="O57" s="7">
        <f t="shared" si="7"/>
        <v>0.75</v>
      </c>
      <c r="P57" s="7">
        <f t="shared" si="7"/>
        <v>0.75</v>
      </c>
      <c r="Q57" s="7">
        <f t="shared" si="7"/>
        <v>0.75</v>
      </c>
      <c r="R57" s="7">
        <f t="shared" si="7"/>
        <v>0.75</v>
      </c>
      <c r="S57" s="7">
        <f t="shared" si="7"/>
        <v>0.75</v>
      </c>
      <c r="T57" s="7">
        <f t="shared" si="7"/>
        <v>0.75</v>
      </c>
      <c r="U57" s="7">
        <f t="shared" si="7"/>
        <v>0.75</v>
      </c>
    </row>
    <row r="58" spans="1:21" x14ac:dyDescent="0.25">
      <c r="D58" s="18"/>
    </row>
    <row r="59" spans="1:21" x14ac:dyDescent="0.25">
      <c r="A59" s="5" t="s">
        <v>168</v>
      </c>
      <c r="D59" s="18"/>
    </row>
    <row r="60" spans="1:21" x14ac:dyDescent="0.25">
      <c r="A60" s="43" t="s">
        <v>144</v>
      </c>
      <c r="D60" s="18"/>
    </row>
    <row r="61" spans="1:21" x14ac:dyDescent="0.25">
      <c r="A61" s="37" t="s">
        <v>88</v>
      </c>
      <c r="B61" s="7">
        <f>B34*1.4</f>
        <v>0.7</v>
      </c>
      <c r="C61" s="7">
        <f t="shared" ref="C61:U64" si="8">C34*1.4</f>
        <v>0.7</v>
      </c>
      <c r="D61" s="7">
        <f t="shared" si="8"/>
        <v>0.7</v>
      </c>
      <c r="E61" s="7">
        <f t="shared" si="8"/>
        <v>0.7</v>
      </c>
      <c r="F61" s="7">
        <f t="shared" si="8"/>
        <v>0.7</v>
      </c>
      <c r="G61" s="7">
        <f t="shared" si="8"/>
        <v>0.7</v>
      </c>
      <c r="H61" s="7">
        <f t="shared" si="8"/>
        <v>0.7</v>
      </c>
      <c r="I61" s="7">
        <f t="shared" si="8"/>
        <v>0.7</v>
      </c>
      <c r="J61" s="7">
        <f t="shared" si="8"/>
        <v>0.7</v>
      </c>
      <c r="K61" s="7">
        <f t="shared" si="8"/>
        <v>0.7</v>
      </c>
      <c r="L61" s="7">
        <f t="shared" si="8"/>
        <v>0.7</v>
      </c>
      <c r="M61" s="7">
        <f t="shared" si="8"/>
        <v>0.7</v>
      </c>
      <c r="N61" s="7">
        <f t="shared" si="8"/>
        <v>0.7</v>
      </c>
      <c r="O61" s="7">
        <f t="shared" si="8"/>
        <v>0.7</v>
      </c>
      <c r="P61" s="7">
        <f t="shared" si="8"/>
        <v>0.7</v>
      </c>
      <c r="Q61" s="7">
        <f t="shared" si="8"/>
        <v>0.7</v>
      </c>
      <c r="R61" s="7">
        <f t="shared" si="8"/>
        <v>0.7</v>
      </c>
      <c r="S61" s="7">
        <f t="shared" si="8"/>
        <v>0.7</v>
      </c>
      <c r="T61" s="7">
        <f t="shared" si="8"/>
        <v>0.7</v>
      </c>
      <c r="U61" s="7">
        <f t="shared" si="8"/>
        <v>0.7</v>
      </c>
    </row>
    <row r="62" spans="1:21" x14ac:dyDescent="0.25">
      <c r="A62" s="37" t="s">
        <v>87</v>
      </c>
      <c r="B62" s="7">
        <f t="shared" ref="B62:Q64" si="9">B35*1.4</f>
        <v>1.4</v>
      </c>
      <c r="C62" s="7">
        <f t="shared" si="9"/>
        <v>1.4</v>
      </c>
      <c r="D62" s="7">
        <f t="shared" si="9"/>
        <v>1.4</v>
      </c>
      <c r="E62" s="7">
        <f t="shared" si="9"/>
        <v>1.4</v>
      </c>
      <c r="F62" s="7">
        <f t="shared" si="9"/>
        <v>1.4</v>
      </c>
      <c r="G62" s="7">
        <f t="shared" si="9"/>
        <v>1.4</v>
      </c>
      <c r="H62" s="7">
        <f t="shared" si="9"/>
        <v>1.4</v>
      </c>
      <c r="I62" s="7">
        <f t="shared" si="9"/>
        <v>1.4</v>
      </c>
      <c r="J62" s="7">
        <f t="shared" si="9"/>
        <v>1.4</v>
      </c>
      <c r="K62" s="7">
        <f t="shared" si="9"/>
        <v>1.4</v>
      </c>
      <c r="L62" s="7">
        <f t="shared" si="9"/>
        <v>1.4</v>
      </c>
      <c r="M62" s="7">
        <f t="shared" si="9"/>
        <v>1.4</v>
      </c>
      <c r="N62" s="7">
        <f t="shared" si="9"/>
        <v>1.4</v>
      </c>
      <c r="O62" s="7">
        <f t="shared" si="9"/>
        <v>1.4</v>
      </c>
      <c r="P62" s="7">
        <f t="shared" si="9"/>
        <v>1.4</v>
      </c>
      <c r="Q62" s="7">
        <f t="shared" si="9"/>
        <v>1.4</v>
      </c>
      <c r="R62" s="7">
        <f t="shared" si="8"/>
        <v>1.4</v>
      </c>
      <c r="S62" s="7">
        <f t="shared" si="8"/>
        <v>1.4</v>
      </c>
      <c r="T62" s="7">
        <f t="shared" si="8"/>
        <v>1.4</v>
      </c>
      <c r="U62" s="7">
        <f t="shared" si="8"/>
        <v>1.4</v>
      </c>
    </row>
    <row r="63" spans="1:21" x14ac:dyDescent="0.25">
      <c r="A63" s="37" t="s">
        <v>41</v>
      </c>
      <c r="B63" s="7">
        <f t="shared" si="9"/>
        <v>0.7</v>
      </c>
      <c r="C63" s="7">
        <f t="shared" si="8"/>
        <v>0.7</v>
      </c>
      <c r="D63" s="7">
        <f t="shared" si="8"/>
        <v>0.7</v>
      </c>
      <c r="E63" s="7">
        <f t="shared" si="8"/>
        <v>0.7</v>
      </c>
      <c r="F63" s="7">
        <f t="shared" si="8"/>
        <v>0.7</v>
      </c>
      <c r="G63" s="7">
        <f t="shared" si="8"/>
        <v>0.7</v>
      </c>
      <c r="H63" s="7">
        <f t="shared" si="8"/>
        <v>0.7</v>
      </c>
      <c r="I63" s="7">
        <f t="shared" si="8"/>
        <v>0.7</v>
      </c>
      <c r="J63" s="7">
        <f t="shared" si="8"/>
        <v>0.7</v>
      </c>
      <c r="K63" s="7">
        <f t="shared" si="8"/>
        <v>0.7</v>
      </c>
      <c r="L63" s="7">
        <f t="shared" si="8"/>
        <v>0.7</v>
      </c>
      <c r="M63" s="7">
        <f t="shared" si="8"/>
        <v>0.7</v>
      </c>
      <c r="N63" s="7">
        <f t="shared" si="8"/>
        <v>0.7</v>
      </c>
      <c r="O63" s="7">
        <f t="shared" si="8"/>
        <v>0.7</v>
      </c>
      <c r="P63" s="7">
        <f t="shared" si="8"/>
        <v>0.7</v>
      </c>
      <c r="Q63" s="7">
        <f t="shared" si="8"/>
        <v>0.7</v>
      </c>
      <c r="R63" s="7">
        <f t="shared" si="8"/>
        <v>0.7</v>
      </c>
      <c r="S63" s="7">
        <f t="shared" si="8"/>
        <v>0.7</v>
      </c>
      <c r="T63" s="7">
        <f t="shared" si="8"/>
        <v>0.7</v>
      </c>
      <c r="U63" s="7">
        <f t="shared" si="8"/>
        <v>0.7</v>
      </c>
    </row>
    <row r="64" spans="1:21" x14ac:dyDescent="0.25">
      <c r="A64" s="37" t="s">
        <v>178</v>
      </c>
      <c r="B64" s="7">
        <f t="shared" si="9"/>
        <v>4.6666666666666662E-2</v>
      </c>
      <c r="C64" s="7">
        <f t="shared" si="9"/>
        <v>4.6666666666666662E-2</v>
      </c>
      <c r="D64" s="7">
        <f t="shared" si="9"/>
        <v>4.6666666666666662E-2</v>
      </c>
      <c r="E64" s="7">
        <f t="shared" si="9"/>
        <v>4.6666666666666662E-2</v>
      </c>
      <c r="F64" s="7">
        <f t="shared" si="9"/>
        <v>4.6666666666666662E-2</v>
      </c>
      <c r="G64" s="7">
        <f t="shared" si="9"/>
        <v>4.6666666666666662E-2</v>
      </c>
      <c r="H64" s="7">
        <f t="shared" si="9"/>
        <v>4.6666666666666662E-2</v>
      </c>
      <c r="I64" s="7">
        <f t="shared" si="9"/>
        <v>4.6666666666666662E-2</v>
      </c>
      <c r="J64" s="7">
        <f t="shared" si="9"/>
        <v>4.6666666666666662E-2</v>
      </c>
      <c r="K64" s="7">
        <f t="shared" si="9"/>
        <v>4.6666666666666662E-2</v>
      </c>
      <c r="L64" s="7">
        <f t="shared" si="9"/>
        <v>4.6666666666666662E-2</v>
      </c>
      <c r="M64" s="7">
        <f t="shared" si="9"/>
        <v>4.6666666666666662E-2</v>
      </c>
      <c r="N64" s="7">
        <f t="shared" si="9"/>
        <v>4.6666666666666662E-2</v>
      </c>
      <c r="O64" s="7">
        <f t="shared" si="9"/>
        <v>4.6666666666666662E-2</v>
      </c>
      <c r="P64" s="7">
        <f t="shared" si="9"/>
        <v>4.6666666666666662E-2</v>
      </c>
      <c r="Q64" s="7">
        <f t="shared" si="9"/>
        <v>4.6666666666666662E-2</v>
      </c>
      <c r="R64" s="7">
        <f t="shared" si="8"/>
        <v>4.6666666666666662E-2</v>
      </c>
      <c r="S64" s="7">
        <f t="shared" si="8"/>
        <v>4.6666666666666662E-2</v>
      </c>
      <c r="T64" s="7">
        <f t="shared" si="8"/>
        <v>4.6666666666666662E-2</v>
      </c>
      <c r="U64" s="7">
        <f t="shared" si="8"/>
        <v>4.6666666666666662E-2</v>
      </c>
    </row>
    <row r="65" spans="1:21" x14ac:dyDescent="0.25">
      <c r="A65" s="43" t="s">
        <v>145</v>
      </c>
      <c r="B65" s="7"/>
    </row>
    <row r="66" spans="1:21" x14ac:dyDescent="0.25">
      <c r="A66" s="37" t="s">
        <v>88</v>
      </c>
      <c r="B66" s="7">
        <f>B39*0.6</f>
        <v>0.6</v>
      </c>
      <c r="C66" s="7">
        <f t="shared" ref="C66:U70" si="10">C39*0.6</f>
        <v>0.6</v>
      </c>
      <c r="D66" s="7">
        <f t="shared" si="10"/>
        <v>0.6</v>
      </c>
      <c r="E66" s="7">
        <f t="shared" si="10"/>
        <v>0.6</v>
      </c>
      <c r="F66" s="7">
        <f t="shared" si="10"/>
        <v>0.6</v>
      </c>
      <c r="G66" s="7">
        <f t="shared" si="10"/>
        <v>0.6</v>
      </c>
      <c r="H66" s="7">
        <f t="shared" si="10"/>
        <v>0.6</v>
      </c>
      <c r="I66" s="7">
        <f t="shared" si="10"/>
        <v>0.6</v>
      </c>
      <c r="J66" s="7">
        <f t="shared" si="10"/>
        <v>0.6</v>
      </c>
      <c r="K66" s="7">
        <f t="shared" si="10"/>
        <v>0.6</v>
      </c>
      <c r="L66" s="7">
        <f t="shared" si="10"/>
        <v>0.6</v>
      </c>
      <c r="M66" s="7">
        <f t="shared" si="10"/>
        <v>0.6</v>
      </c>
      <c r="N66" s="7">
        <f t="shared" si="10"/>
        <v>0.6</v>
      </c>
      <c r="O66" s="7">
        <f t="shared" si="10"/>
        <v>0.6</v>
      </c>
      <c r="P66" s="7">
        <f t="shared" si="10"/>
        <v>0.6</v>
      </c>
      <c r="Q66" s="7">
        <f t="shared" si="10"/>
        <v>0.6</v>
      </c>
      <c r="R66" s="7">
        <f t="shared" si="10"/>
        <v>0.6</v>
      </c>
      <c r="S66" s="7">
        <f t="shared" si="10"/>
        <v>0.6</v>
      </c>
      <c r="T66" s="7">
        <f t="shared" si="10"/>
        <v>0.6</v>
      </c>
      <c r="U66" s="7">
        <f t="shared" si="10"/>
        <v>0.6</v>
      </c>
    </row>
    <row r="67" spans="1:21" x14ac:dyDescent="0.25">
      <c r="A67" s="37" t="s">
        <v>87</v>
      </c>
      <c r="B67" s="7">
        <f t="shared" ref="B67:Q70" si="11">B40*0.6</f>
        <v>1.05</v>
      </c>
      <c r="C67" s="7">
        <f t="shared" si="11"/>
        <v>1.05</v>
      </c>
      <c r="D67" s="7">
        <f t="shared" si="11"/>
        <v>1.05</v>
      </c>
      <c r="E67" s="7">
        <f t="shared" si="11"/>
        <v>1.05</v>
      </c>
      <c r="F67" s="7">
        <f t="shared" si="11"/>
        <v>1.05</v>
      </c>
      <c r="G67" s="7">
        <f t="shared" si="11"/>
        <v>1.05</v>
      </c>
      <c r="H67" s="7">
        <f t="shared" si="11"/>
        <v>1.05</v>
      </c>
      <c r="I67" s="7">
        <f t="shared" si="11"/>
        <v>1.05</v>
      </c>
      <c r="J67" s="7">
        <f t="shared" si="11"/>
        <v>1.05</v>
      </c>
      <c r="K67" s="7">
        <f t="shared" si="11"/>
        <v>1.05</v>
      </c>
      <c r="L67" s="7">
        <f t="shared" si="11"/>
        <v>1.05</v>
      </c>
      <c r="M67" s="7">
        <f t="shared" si="11"/>
        <v>1.05</v>
      </c>
      <c r="N67" s="7">
        <f t="shared" si="11"/>
        <v>1.05</v>
      </c>
      <c r="O67" s="7">
        <f t="shared" si="11"/>
        <v>1.05</v>
      </c>
      <c r="P67" s="7">
        <f t="shared" si="11"/>
        <v>1.05</v>
      </c>
      <c r="Q67" s="7">
        <f t="shared" si="11"/>
        <v>1.05</v>
      </c>
      <c r="R67" s="7">
        <f t="shared" si="10"/>
        <v>1.05</v>
      </c>
      <c r="S67" s="7">
        <f t="shared" si="10"/>
        <v>1.05</v>
      </c>
      <c r="T67" s="7">
        <f t="shared" si="10"/>
        <v>1.05</v>
      </c>
      <c r="U67" s="7">
        <f t="shared" si="10"/>
        <v>1.05</v>
      </c>
    </row>
    <row r="68" spans="1:21" x14ac:dyDescent="0.25">
      <c r="A68" s="37" t="s">
        <v>41</v>
      </c>
      <c r="B68" s="7">
        <f t="shared" si="11"/>
        <v>1.3499999999999999</v>
      </c>
      <c r="C68" s="7">
        <f t="shared" si="10"/>
        <v>1.3499999999999999</v>
      </c>
      <c r="D68" s="7">
        <f t="shared" si="10"/>
        <v>1.3499999999999999</v>
      </c>
      <c r="E68" s="7">
        <f t="shared" si="10"/>
        <v>1.3499999999999999</v>
      </c>
      <c r="F68" s="7">
        <f t="shared" si="10"/>
        <v>1.3499999999999999</v>
      </c>
      <c r="G68" s="7">
        <f t="shared" si="10"/>
        <v>1.3499999999999999</v>
      </c>
      <c r="H68" s="7">
        <f t="shared" si="10"/>
        <v>1.3499999999999999</v>
      </c>
      <c r="I68" s="7">
        <f t="shared" si="10"/>
        <v>1.3499999999999999</v>
      </c>
      <c r="J68" s="7">
        <f t="shared" si="10"/>
        <v>1.3499999999999999</v>
      </c>
      <c r="K68" s="7">
        <f t="shared" si="10"/>
        <v>1.3499999999999999</v>
      </c>
      <c r="L68" s="7">
        <f t="shared" si="10"/>
        <v>1.3499999999999999</v>
      </c>
      <c r="M68" s="7">
        <f t="shared" si="10"/>
        <v>1.3499999999999999</v>
      </c>
      <c r="N68" s="7">
        <f t="shared" si="10"/>
        <v>1.3499999999999999</v>
      </c>
      <c r="O68" s="7">
        <f t="shared" si="10"/>
        <v>1.3499999999999999</v>
      </c>
      <c r="P68" s="7">
        <f t="shared" si="10"/>
        <v>1.3499999999999999</v>
      </c>
      <c r="Q68" s="7">
        <f t="shared" si="10"/>
        <v>1.3499999999999999</v>
      </c>
      <c r="R68" s="7">
        <f t="shared" si="10"/>
        <v>1.3499999999999999</v>
      </c>
      <c r="S68" s="7">
        <f t="shared" si="10"/>
        <v>1.3499999999999999</v>
      </c>
      <c r="T68" s="7">
        <f t="shared" si="10"/>
        <v>1.3499999999999999</v>
      </c>
      <c r="U68" s="7">
        <f t="shared" si="10"/>
        <v>1.3499999999999999</v>
      </c>
    </row>
    <row r="69" spans="1:21" x14ac:dyDescent="0.25">
      <c r="A69" s="37" t="s">
        <v>156</v>
      </c>
      <c r="B69" s="7">
        <f t="shared" si="11"/>
        <v>0.15</v>
      </c>
      <c r="C69" s="7">
        <f t="shared" si="10"/>
        <v>0.15</v>
      </c>
      <c r="D69" s="7">
        <f t="shared" si="10"/>
        <v>0.15</v>
      </c>
      <c r="E69" s="7">
        <f t="shared" si="10"/>
        <v>0.15</v>
      </c>
      <c r="F69" s="7">
        <f t="shared" si="10"/>
        <v>0.15</v>
      </c>
      <c r="G69" s="7">
        <f t="shared" si="10"/>
        <v>0.15</v>
      </c>
      <c r="H69" s="7">
        <f t="shared" si="10"/>
        <v>0.15</v>
      </c>
      <c r="I69" s="7">
        <f t="shared" si="10"/>
        <v>0.15</v>
      </c>
      <c r="J69" s="7">
        <f t="shared" si="10"/>
        <v>0.15</v>
      </c>
      <c r="K69" s="7">
        <f t="shared" si="10"/>
        <v>0.15</v>
      </c>
      <c r="L69" s="7">
        <f t="shared" si="10"/>
        <v>0.15</v>
      </c>
      <c r="M69" s="7">
        <f t="shared" si="10"/>
        <v>0.15</v>
      </c>
      <c r="N69" s="7">
        <f t="shared" si="10"/>
        <v>0.15</v>
      </c>
      <c r="O69" s="7">
        <f t="shared" si="10"/>
        <v>0.15</v>
      </c>
      <c r="P69" s="7">
        <f t="shared" si="10"/>
        <v>0.15</v>
      </c>
      <c r="Q69" s="7">
        <f t="shared" si="10"/>
        <v>0.15</v>
      </c>
      <c r="R69" s="7">
        <f t="shared" si="10"/>
        <v>0.15</v>
      </c>
      <c r="S69" s="7">
        <f t="shared" si="10"/>
        <v>0.15</v>
      </c>
      <c r="T69" s="7">
        <f t="shared" si="10"/>
        <v>0.15</v>
      </c>
      <c r="U69" s="7">
        <f t="shared" si="10"/>
        <v>0.15</v>
      </c>
    </row>
    <row r="70" spans="1:21" x14ac:dyDescent="0.25">
      <c r="A70" s="37" t="s">
        <v>157</v>
      </c>
      <c r="B70" s="7">
        <f t="shared" si="11"/>
        <v>0.6</v>
      </c>
      <c r="C70" s="7">
        <f t="shared" si="10"/>
        <v>0.6</v>
      </c>
      <c r="D70" s="7">
        <f t="shared" si="10"/>
        <v>0.6</v>
      </c>
      <c r="E70" s="7">
        <f t="shared" si="10"/>
        <v>0.6</v>
      </c>
      <c r="F70" s="7">
        <f t="shared" si="10"/>
        <v>0.6</v>
      </c>
      <c r="G70" s="7">
        <f t="shared" si="10"/>
        <v>0.6</v>
      </c>
      <c r="H70" s="7">
        <f t="shared" si="10"/>
        <v>0.6</v>
      </c>
      <c r="I70" s="7">
        <f t="shared" si="10"/>
        <v>0.6</v>
      </c>
      <c r="J70" s="7">
        <f t="shared" si="10"/>
        <v>0.6</v>
      </c>
      <c r="K70" s="7">
        <f t="shared" si="10"/>
        <v>0.6</v>
      </c>
      <c r="L70" s="7">
        <f t="shared" si="10"/>
        <v>0.6</v>
      </c>
      <c r="M70" s="7">
        <f t="shared" si="10"/>
        <v>0.6</v>
      </c>
      <c r="N70" s="7">
        <f t="shared" si="10"/>
        <v>0.6</v>
      </c>
      <c r="O70" s="7">
        <f t="shared" si="10"/>
        <v>0.6</v>
      </c>
      <c r="P70" s="7">
        <f t="shared" si="10"/>
        <v>0.6</v>
      </c>
      <c r="Q70" s="7">
        <f t="shared" si="10"/>
        <v>0.6</v>
      </c>
      <c r="R70" s="7">
        <f t="shared" si="10"/>
        <v>0.6</v>
      </c>
      <c r="S70" s="7">
        <f t="shared" si="10"/>
        <v>0.6</v>
      </c>
      <c r="T70" s="7">
        <f t="shared" si="10"/>
        <v>0.6</v>
      </c>
      <c r="U70" s="7">
        <f t="shared" si="10"/>
        <v>0.6</v>
      </c>
    </row>
    <row r="71" spans="1:21" x14ac:dyDescent="0.25">
      <c r="D71" s="18"/>
    </row>
    <row r="72" spans="1:21" x14ac:dyDescent="0.25">
      <c r="D72" s="18"/>
    </row>
    <row r="73" spans="1:21" x14ac:dyDescent="0.25">
      <c r="A73" s="128" t="s">
        <v>149</v>
      </c>
      <c r="B73" s="47"/>
      <c r="C73" s="47"/>
      <c r="D73" s="12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</row>
    <row r="74" spans="1:21" x14ac:dyDescent="0.25">
      <c r="A74" s="5" t="s">
        <v>143</v>
      </c>
      <c r="D74" s="18"/>
    </row>
    <row r="75" spans="1:21" x14ac:dyDescent="0.25">
      <c r="A75" s="43" t="s">
        <v>144</v>
      </c>
      <c r="D75" s="18"/>
    </row>
    <row r="76" spans="1:21" x14ac:dyDescent="0.25">
      <c r="A76" s="37" t="s">
        <v>88</v>
      </c>
      <c r="B76" s="3">
        <f t="shared" ref="B76:U76" si="12">B34*$D$2*B$24</f>
        <v>11239.053749377181</v>
      </c>
      <c r="C76" s="3">
        <f t="shared" si="12"/>
        <v>10788.686804805788</v>
      </c>
      <c r="D76" s="3">
        <f t="shared" si="12"/>
        <v>10411.361697994709</v>
      </c>
      <c r="E76" s="3">
        <f t="shared" si="12"/>
        <v>10088.144615198567</v>
      </c>
      <c r="F76" s="3">
        <f t="shared" si="12"/>
        <v>9806.4081925109804</v>
      </c>
      <c r="G76" s="3">
        <f t="shared" si="12"/>
        <v>9806.4081925109804</v>
      </c>
      <c r="H76" s="3">
        <f t="shared" si="12"/>
        <v>9806.4081925109804</v>
      </c>
      <c r="I76" s="3">
        <f t="shared" si="12"/>
        <v>9806.4081925109804</v>
      </c>
      <c r="J76" s="3">
        <f t="shared" si="12"/>
        <v>9806.4081925109804</v>
      </c>
      <c r="K76" s="3">
        <f t="shared" si="12"/>
        <v>9806.4081925109804</v>
      </c>
      <c r="L76" s="3">
        <f t="shared" si="12"/>
        <v>9806.4081925109804</v>
      </c>
      <c r="M76" s="3">
        <f t="shared" si="12"/>
        <v>9806.4081925109804</v>
      </c>
      <c r="N76" s="3">
        <f t="shared" si="12"/>
        <v>9806.4081925109804</v>
      </c>
      <c r="O76" s="3">
        <f t="shared" si="12"/>
        <v>9806.4081925109804</v>
      </c>
      <c r="P76" s="3">
        <f t="shared" si="12"/>
        <v>9806.4081925109804</v>
      </c>
      <c r="Q76" s="3">
        <f t="shared" si="12"/>
        <v>9806.4081925109804</v>
      </c>
      <c r="R76" s="3">
        <f t="shared" si="12"/>
        <v>9806.4081925109804</v>
      </c>
      <c r="S76" s="3">
        <f t="shared" si="12"/>
        <v>9806.4081925109804</v>
      </c>
      <c r="T76" s="3">
        <f t="shared" si="12"/>
        <v>9806.4081925109804</v>
      </c>
      <c r="U76" s="3">
        <f t="shared" si="12"/>
        <v>9806.4081925109804</v>
      </c>
    </row>
    <row r="77" spans="1:21" x14ac:dyDescent="0.25">
      <c r="A77" s="37" t="s">
        <v>87</v>
      </c>
      <c r="B77" s="3">
        <f t="shared" ref="B77:U77" si="13">B35*$D$3*B$24</f>
        <v>10275.706285144852</v>
      </c>
      <c r="C77" s="3">
        <f t="shared" si="13"/>
        <v>9863.9422215367194</v>
      </c>
      <c r="D77" s="3">
        <f t="shared" si="13"/>
        <v>9518.9592667380184</v>
      </c>
      <c r="E77" s="3">
        <f t="shared" si="13"/>
        <v>9223.4465053244057</v>
      </c>
      <c r="F77" s="3">
        <f t="shared" si="13"/>
        <v>8965.8589188671813</v>
      </c>
      <c r="G77" s="3">
        <f t="shared" si="13"/>
        <v>8965.8589188671813</v>
      </c>
      <c r="H77" s="3">
        <f t="shared" si="13"/>
        <v>8965.8589188671813</v>
      </c>
      <c r="I77" s="3">
        <f t="shared" si="13"/>
        <v>8965.8589188671813</v>
      </c>
      <c r="J77" s="3">
        <f t="shared" si="13"/>
        <v>8965.8589188671813</v>
      </c>
      <c r="K77" s="3">
        <f t="shared" si="13"/>
        <v>8965.8589188671813</v>
      </c>
      <c r="L77" s="3">
        <f t="shared" si="13"/>
        <v>8965.8589188671813</v>
      </c>
      <c r="M77" s="3">
        <f t="shared" si="13"/>
        <v>8965.8589188671813</v>
      </c>
      <c r="N77" s="3">
        <f t="shared" si="13"/>
        <v>8965.8589188671813</v>
      </c>
      <c r="O77" s="3">
        <f t="shared" si="13"/>
        <v>8965.8589188671813</v>
      </c>
      <c r="P77" s="3">
        <f t="shared" si="13"/>
        <v>8965.8589188671813</v>
      </c>
      <c r="Q77" s="3">
        <f t="shared" si="13"/>
        <v>8965.8589188671813</v>
      </c>
      <c r="R77" s="3">
        <f t="shared" si="13"/>
        <v>8965.8589188671813</v>
      </c>
      <c r="S77" s="3">
        <f t="shared" si="13"/>
        <v>8965.8589188671813</v>
      </c>
      <c r="T77" s="3">
        <f t="shared" si="13"/>
        <v>8965.8589188671813</v>
      </c>
      <c r="U77" s="3">
        <f t="shared" si="13"/>
        <v>8965.8589188671813</v>
      </c>
    </row>
    <row r="78" spans="1:21" x14ac:dyDescent="0.25">
      <c r="A78" s="37" t="s">
        <v>41</v>
      </c>
      <c r="B78" s="3">
        <f t="shared" ref="B78:U78" si="14">B36*$D$4*B$24</f>
        <v>5137.8531425724259</v>
      </c>
      <c r="C78" s="3">
        <f t="shared" si="14"/>
        <v>4931.9711107683597</v>
      </c>
      <c r="D78" s="3">
        <f t="shared" si="14"/>
        <v>4759.4796333690092</v>
      </c>
      <c r="E78" s="3">
        <f t="shared" si="14"/>
        <v>4611.7232526622029</v>
      </c>
      <c r="F78" s="3">
        <f t="shared" si="14"/>
        <v>4482.9294594335906</v>
      </c>
      <c r="G78" s="3">
        <f t="shared" si="14"/>
        <v>4482.9294594335906</v>
      </c>
      <c r="H78" s="3">
        <f t="shared" si="14"/>
        <v>4482.9294594335906</v>
      </c>
      <c r="I78" s="3">
        <f t="shared" si="14"/>
        <v>4482.9294594335906</v>
      </c>
      <c r="J78" s="3">
        <f t="shared" si="14"/>
        <v>4482.9294594335906</v>
      </c>
      <c r="K78" s="3">
        <f t="shared" si="14"/>
        <v>4482.9294594335906</v>
      </c>
      <c r="L78" s="3">
        <f t="shared" si="14"/>
        <v>4482.9294594335906</v>
      </c>
      <c r="M78" s="3">
        <f t="shared" si="14"/>
        <v>4482.9294594335906</v>
      </c>
      <c r="N78" s="3">
        <f t="shared" si="14"/>
        <v>4482.9294594335906</v>
      </c>
      <c r="O78" s="3">
        <f t="shared" si="14"/>
        <v>4482.9294594335906</v>
      </c>
      <c r="P78" s="3">
        <f t="shared" si="14"/>
        <v>4482.9294594335906</v>
      </c>
      <c r="Q78" s="3">
        <f t="shared" si="14"/>
        <v>4482.9294594335906</v>
      </c>
      <c r="R78" s="3">
        <f t="shared" si="14"/>
        <v>4482.9294594335906</v>
      </c>
      <c r="S78" s="3">
        <f t="shared" si="14"/>
        <v>4482.9294594335906</v>
      </c>
      <c r="T78" s="3">
        <f t="shared" si="14"/>
        <v>4482.9294594335906</v>
      </c>
      <c r="U78" s="3">
        <f t="shared" si="14"/>
        <v>4482.9294594335906</v>
      </c>
    </row>
    <row r="79" spans="1:21" x14ac:dyDescent="0.25">
      <c r="A79" s="37" t="s">
        <v>178</v>
      </c>
      <c r="B79" s="3">
        <f>B37*$D$4*B$26</f>
        <v>216.66666666666666</v>
      </c>
      <c r="C79" s="3">
        <f t="shared" ref="C79:U79" si="15">C37*$D$4*C$26</f>
        <v>151.66666666666666</v>
      </c>
      <c r="D79" s="3">
        <f t="shared" si="15"/>
        <v>86.666666666666657</v>
      </c>
      <c r="E79" s="3">
        <f t="shared" si="15"/>
        <v>86.666666666666657</v>
      </c>
      <c r="F79" s="3">
        <f t="shared" si="15"/>
        <v>86.666666666666657</v>
      </c>
      <c r="G79" s="3">
        <f t="shared" si="15"/>
        <v>86.666666666666657</v>
      </c>
      <c r="H79" s="3">
        <f t="shared" si="15"/>
        <v>86.666666666666657</v>
      </c>
      <c r="I79" s="3">
        <f t="shared" si="15"/>
        <v>86.666666666666657</v>
      </c>
      <c r="J79" s="3">
        <f t="shared" si="15"/>
        <v>86.666666666666657</v>
      </c>
      <c r="K79" s="3">
        <f t="shared" si="15"/>
        <v>86.666666666666657</v>
      </c>
      <c r="L79" s="3">
        <f t="shared" si="15"/>
        <v>86.666666666666657</v>
      </c>
      <c r="M79" s="3">
        <f t="shared" si="15"/>
        <v>86.666666666666657</v>
      </c>
      <c r="N79" s="3">
        <f t="shared" si="15"/>
        <v>86.666666666666657</v>
      </c>
      <c r="O79" s="3">
        <f t="shared" si="15"/>
        <v>86.666666666666657</v>
      </c>
      <c r="P79" s="3">
        <f t="shared" si="15"/>
        <v>86.666666666666657</v>
      </c>
      <c r="Q79" s="3">
        <f t="shared" si="15"/>
        <v>86.666666666666657</v>
      </c>
      <c r="R79" s="3">
        <f t="shared" si="15"/>
        <v>86.666666666666657</v>
      </c>
      <c r="S79" s="3">
        <f t="shared" si="15"/>
        <v>86.666666666666657</v>
      </c>
      <c r="T79" s="3">
        <f t="shared" si="15"/>
        <v>86.666666666666657</v>
      </c>
      <c r="U79" s="3">
        <f t="shared" si="15"/>
        <v>86.666666666666657</v>
      </c>
    </row>
    <row r="80" spans="1:21" x14ac:dyDescent="0.25">
      <c r="A80" s="89" t="s">
        <v>18</v>
      </c>
      <c r="B80" s="90">
        <f>SUM(B76:B79)</f>
        <v>26869.279843761127</v>
      </c>
      <c r="C80" s="90">
        <f t="shared" ref="C80:U80" si="16">SUM(C76:C79)</f>
        <v>25736.266803777533</v>
      </c>
      <c r="D80" s="90">
        <f t="shared" si="16"/>
        <v>24776.467264768406</v>
      </c>
      <c r="E80" s="90">
        <f t="shared" si="16"/>
        <v>24009.981039851842</v>
      </c>
      <c r="F80" s="90">
        <f t="shared" si="16"/>
        <v>23341.863237478421</v>
      </c>
      <c r="G80" s="90">
        <f t="shared" si="16"/>
        <v>23341.863237478421</v>
      </c>
      <c r="H80" s="90">
        <f t="shared" si="16"/>
        <v>23341.863237478421</v>
      </c>
      <c r="I80" s="90">
        <f t="shared" si="16"/>
        <v>23341.863237478421</v>
      </c>
      <c r="J80" s="90">
        <f t="shared" si="16"/>
        <v>23341.863237478421</v>
      </c>
      <c r="K80" s="90">
        <f t="shared" si="16"/>
        <v>23341.863237478421</v>
      </c>
      <c r="L80" s="90">
        <f t="shared" si="16"/>
        <v>23341.863237478421</v>
      </c>
      <c r="M80" s="90">
        <f t="shared" si="16"/>
        <v>23341.863237478421</v>
      </c>
      <c r="N80" s="90">
        <f t="shared" si="16"/>
        <v>23341.863237478421</v>
      </c>
      <c r="O80" s="90">
        <f t="shared" si="16"/>
        <v>23341.863237478421</v>
      </c>
      <c r="P80" s="90">
        <f t="shared" si="16"/>
        <v>23341.863237478421</v>
      </c>
      <c r="Q80" s="90">
        <f t="shared" si="16"/>
        <v>23341.863237478421</v>
      </c>
      <c r="R80" s="90">
        <f t="shared" si="16"/>
        <v>23341.863237478421</v>
      </c>
      <c r="S80" s="90">
        <f t="shared" si="16"/>
        <v>23341.863237478421</v>
      </c>
      <c r="T80" s="90">
        <f t="shared" si="16"/>
        <v>23341.863237478421</v>
      </c>
      <c r="U80" s="90">
        <f t="shared" si="16"/>
        <v>23341.863237478421</v>
      </c>
    </row>
    <row r="81" spans="1:21" x14ac:dyDescent="0.25">
      <c r="A81" s="43" t="s">
        <v>145</v>
      </c>
    </row>
    <row r="82" spans="1:21" x14ac:dyDescent="0.25">
      <c r="A82" s="37" t="s">
        <v>88</v>
      </c>
      <c r="B82" s="3">
        <f t="shared" ref="B82:U82" si="17">B39*$D$2*B$24</f>
        <v>22478.107498754362</v>
      </c>
      <c r="C82" s="3">
        <f t="shared" si="17"/>
        <v>21577.373609611575</v>
      </c>
      <c r="D82" s="3">
        <f t="shared" si="17"/>
        <v>20822.723395989418</v>
      </c>
      <c r="E82" s="3">
        <f t="shared" si="17"/>
        <v>20176.289230397135</v>
      </c>
      <c r="F82" s="3">
        <f t="shared" si="17"/>
        <v>19612.816385021961</v>
      </c>
      <c r="G82" s="3">
        <f t="shared" si="17"/>
        <v>19612.816385021961</v>
      </c>
      <c r="H82" s="3">
        <f t="shared" si="17"/>
        <v>19612.816385021961</v>
      </c>
      <c r="I82" s="3">
        <f t="shared" si="17"/>
        <v>19612.816385021961</v>
      </c>
      <c r="J82" s="3">
        <f t="shared" si="17"/>
        <v>19612.816385021961</v>
      </c>
      <c r="K82" s="3">
        <f t="shared" si="17"/>
        <v>19612.816385021961</v>
      </c>
      <c r="L82" s="3">
        <f t="shared" si="17"/>
        <v>19612.816385021961</v>
      </c>
      <c r="M82" s="3">
        <f t="shared" si="17"/>
        <v>19612.816385021961</v>
      </c>
      <c r="N82" s="3">
        <f t="shared" si="17"/>
        <v>19612.816385021961</v>
      </c>
      <c r="O82" s="3">
        <f t="shared" si="17"/>
        <v>19612.816385021961</v>
      </c>
      <c r="P82" s="3">
        <f t="shared" si="17"/>
        <v>19612.816385021961</v>
      </c>
      <c r="Q82" s="3">
        <f t="shared" si="17"/>
        <v>19612.816385021961</v>
      </c>
      <c r="R82" s="3">
        <f t="shared" si="17"/>
        <v>19612.816385021961</v>
      </c>
      <c r="S82" s="3">
        <f t="shared" si="17"/>
        <v>19612.816385021961</v>
      </c>
      <c r="T82" s="3">
        <f t="shared" si="17"/>
        <v>19612.816385021961</v>
      </c>
      <c r="U82" s="3">
        <f t="shared" si="17"/>
        <v>19612.816385021961</v>
      </c>
    </row>
    <row r="83" spans="1:21" x14ac:dyDescent="0.25">
      <c r="A83" s="37" t="s">
        <v>87</v>
      </c>
      <c r="B83" s="3">
        <f t="shared" ref="B83:U83" si="18">B40*$D$3*B$24</f>
        <v>17982.485999003489</v>
      </c>
      <c r="C83" s="3">
        <f t="shared" si="18"/>
        <v>17261.898887689258</v>
      </c>
      <c r="D83" s="3">
        <f t="shared" si="18"/>
        <v>16658.178716791532</v>
      </c>
      <c r="E83" s="3">
        <f t="shared" si="18"/>
        <v>16141.031384317708</v>
      </c>
      <c r="F83" s="3">
        <f t="shared" si="18"/>
        <v>15690.253108017569</v>
      </c>
      <c r="G83" s="3">
        <f t="shared" si="18"/>
        <v>15690.253108017569</v>
      </c>
      <c r="H83" s="3">
        <f t="shared" si="18"/>
        <v>15690.253108017569</v>
      </c>
      <c r="I83" s="3">
        <f t="shared" si="18"/>
        <v>15690.253108017569</v>
      </c>
      <c r="J83" s="3">
        <f t="shared" si="18"/>
        <v>15690.253108017569</v>
      </c>
      <c r="K83" s="3">
        <f t="shared" si="18"/>
        <v>15690.253108017569</v>
      </c>
      <c r="L83" s="3">
        <f t="shared" si="18"/>
        <v>15690.253108017569</v>
      </c>
      <c r="M83" s="3">
        <f t="shared" si="18"/>
        <v>15690.253108017569</v>
      </c>
      <c r="N83" s="3">
        <f t="shared" si="18"/>
        <v>15690.253108017569</v>
      </c>
      <c r="O83" s="3">
        <f t="shared" si="18"/>
        <v>15690.253108017569</v>
      </c>
      <c r="P83" s="3">
        <f t="shared" si="18"/>
        <v>15690.253108017569</v>
      </c>
      <c r="Q83" s="3">
        <f t="shared" si="18"/>
        <v>15690.253108017569</v>
      </c>
      <c r="R83" s="3">
        <f t="shared" si="18"/>
        <v>15690.253108017569</v>
      </c>
      <c r="S83" s="3">
        <f t="shared" si="18"/>
        <v>15690.253108017569</v>
      </c>
      <c r="T83" s="3">
        <f t="shared" si="18"/>
        <v>15690.253108017569</v>
      </c>
      <c r="U83" s="3">
        <f t="shared" si="18"/>
        <v>15690.253108017569</v>
      </c>
    </row>
    <row r="84" spans="1:21" x14ac:dyDescent="0.25">
      <c r="A84" s="37" t="s">
        <v>41</v>
      </c>
      <c r="B84" s="3">
        <f t="shared" ref="B84:U84" si="19">B41*$D$4*B$24</f>
        <v>23120.339141575918</v>
      </c>
      <c r="C84" s="3">
        <f t="shared" si="19"/>
        <v>22193.86999845762</v>
      </c>
      <c r="D84" s="3">
        <f t="shared" si="19"/>
        <v>21417.658350160542</v>
      </c>
      <c r="E84" s="3">
        <f t="shared" si="19"/>
        <v>20752.754636979909</v>
      </c>
      <c r="F84" s="3">
        <f t="shared" si="19"/>
        <v>20173.18256745116</v>
      </c>
      <c r="G84" s="3">
        <f t="shared" si="19"/>
        <v>20173.18256745116</v>
      </c>
      <c r="H84" s="3">
        <f t="shared" si="19"/>
        <v>20173.18256745116</v>
      </c>
      <c r="I84" s="3">
        <f t="shared" si="19"/>
        <v>20173.18256745116</v>
      </c>
      <c r="J84" s="3">
        <f t="shared" si="19"/>
        <v>20173.18256745116</v>
      </c>
      <c r="K84" s="3">
        <f t="shared" si="19"/>
        <v>20173.18256745116</v>
      </c>
      <c r="L84" s="3">
        <f t="shared" si="19"/>
        <v>20173.18256745116</v>
      </c>
      <c r="M84" s="3">
        <f t="shared" si="19"/>
        <v>20173.18256745116</v>
      </c>
      <c r="N84" s="3">
        <f t="shared" si="19"/>
        <v>20173.18256745116</v>
      </c>
      <c r="O84" s="3">
        <f t="shared" si="19"/>
        <v>20173.18256745116</v>
      </c>
      <c r="P84" s="3">
        <f t="shared" si="19"/>
        <v>20173.18256745116</v>
      </c>
      <c r="Q84" s="3">
        <f t="shared" si="19"/>
        <v>20173.18256745116</v>
      </c>
      <c r="R84" s="3">
        <f t="shared" si="19"/>
        <v>20173.18256745116</v>
      </c>
      <c r="S84" s="3">
        <f t="shared" si="19"/>
        <v>20173.18256745116</v>
      </c>
      <c r="T84" s="3">
        <f t="shared" si="19"/>
        <v>20173.18256745116</v>
      </c>
      <c r="U84" s="3">
        <f t="shared" si="19"/>
        <v>20173.18256745116</v>
      </c>
    </row>
    <row r="85" spans="1:21" x14ac:dyDescent="0.25">
      <c r="A85" s="37" t="s">
        <v>156</v>
      </c>
      <c r="B85" s="3">
        <f>B42*$D$2*B$26</f>
        <v>3554.6875</v>
      </c>
      <c r="C85" s="3">
        <f t="shared" ref="C85:U85" si="20">C42*$D$2*C$26</f>
        <v>2488.28125</v>
      </c>
      <c r="D85" s="3">
        <f t="shared" si="20"/>
        <v>1421.875</v>
      </c>
      <c r="E85" s="3">
        <f t="shared" si="20"/>
        <v>1421.875</v>
      </c>
      <c r="F85" s="3">
        <f t="shared" si="20"/>
        <v>1421.875</v>
      </c>
      <c r="G85" s="3">
        <f t="shared" si="20"/>
        <v>1421.875</v>
      </c>
      <c r="H85" s="3">
        <f t="shared" si="20"/>
        <v>1421.875</v>
      </c>
      <c r="I85" s="3">
        <f t="shared" si="20"/>
        <v>1421.875</v>
      </c>
      <c r="J85" s="3">
        <f t="shared" si="20"/>
        <v>1421.875</v>
      </c>
      <c r="K85" s="3">
        <f t="shared" si="20"/>
        <v>1421.875</v>
      </c>
      <c r="L85" s="3">
        <f t="shared" si="20"/>
        <v>1421.875</v>
      </c>
      <c r="M85" s="3">
        <f t="shared" si="20"/>
        <v>1421.875</v>
      </c>
      <c r="N85" s="3">
        <f t="shared" si="20"/>
        <v>1421.875</v>
      </c>
      <c r="O85" s="3">
        <f t="shared" si="20"/>
        <v>1421.875</v>
      </c>
      <c r="P85" s="3">
        <f t="shared" si="20"/>
        <v>1421.875</v>
      </c>
      <c r="Q85" s="3">
        <f t="shared" si="20"/>
        <v>1421.875</v>
      </c>
      <c r="R85" s="3">
        <f t="shared" si="20"/>
        <v>1421.875</v>
      </c>
      <c r="S85" s="3">
        <f t="shared" si="20"/>
        <v>1421.875</v>
      </c>
      <c r="T85" s="3">
        <f t="shared" si="20"/>
        <v>1421.875</v>
      </c>
      <c r="U85" s="3">
        <f t="shared" si="20"/>
        <v>1421.875</v>
      </c>
    </row>
    <row r="86" spans="1:21" x14ac:dyDescent="0.25">
      <c r="A86" s="37" t="s">
        <v>157</v>
      </c>
      <c r="B86" s="3">
        <f>B43*$D$2*SUM(B12:B14)</f>
        <v>8144.9686098654711</v>
      </c>
      <c r="C86" s="3">
        <f t="shared" ref="C86:U86" si="21">C43*$D$2*SUM(C12:C14)</f>
        <v>7638.212486308872</v>
      </c>
      <c r="D86" s="3">
        <f t="shared" si="21"/>
        <v>7222.0156109691243</v>
      </c>
      <c r="E86" s="3">
        <f t="shared" si="21"/>
        <v>6870.7854803971359</v>
      </c>
      <c r="F86" s="3">
        <f t="shared" si="21"/>
        <v>6568.0639097744361</v>
      </c>
      <c r="G86" s="3">
        <f t="shared" si="21"/>
        <v>6568.0639097744361</v>
      </c>
      <c r="H86" s="3">
        <f t="shared" si="21"/>
        <v>6568.0639097744361</v>
      </c>
      <c r="I86" s="3">
        <f t="shared" si="21"/>
        <v>6568.0639097744361</v>
      </c>
      <c r="J86" s="3">
        <f t="shared" si="21"/>
        <v>6568.0639097744361</v>
      </c>
      <c r="K86" s="3">
        <f t="shared" si="21"/>
        <v>6568.0639097744361</v>
      </c>
      <c r="L86" s="3">
        <f t="shared" si="21"/>
        <v>6568.0639097744361</v>
      </c>
      <c r="M86" s="3">
        <f t="shared" si="21"/>
        <v>6568.0639097744361</v>
      </c>
      <c r="N86" s="3">
        <f t="shared" si="21"/>
        <v>6568.0639097744361</v>
      </c>
      <c r="O86" s="3">
        <f t="shared" si="21"/>
        <v>6568.0639097744361</v>
      </c>
      <c r="P86" s="3">
        <f t="shared" si="21"/>
        <v>6568.0639097744361</v>
      </c>
      <c r="Q86" s="3">
        <f t="shared" si="21"/>
        <v>6568.0639097744361</v>
      </c>
      <c r="R86" s="3">
        <f t="shared" si="21"/>
        <v>6568.0639097744361</v>
      </c>
      <c r="S86" s="3">
        <f t="shared" si="21"/>
        <v>6568.0639097744361</v>
      </c>
      <c r="T86" s="3">
        <f t="shared" si="21"/>
        <v>6568.0639097744361</v>
      </c>
      <c r="U86" s="3">
        <f t="shared" si="21"/>
        <v>6568.0639097744361</v>
      </c>
    </row>
    <row r="87" spans="1:21" x14ac:dyDescent="0.25">
      <c r="A87" s="89" t="s">
        <v>18</v>
      </c>
      <c r="B87" s="90">
        <f>SUM(B82:B86)</f>
        <v>75280.588749199233</v>
      </c>
      <c r="C87" s="90">
        <f t="shared" ref="C87:U87" si="22">SUM(C82:C86)</f>
        <v>71159.636232067322</v>
      </c>
      <c r="D87" s="90">
        <f t="shared" si="22"/>
        <v>67542.451073910619</v>
      </c>
      <c r="E87" s="90">
        <f t="shared" si="22"/>
        <v>65362.735732091889</v>
      </c>
      <c r="F87" s="90">
        <f t="shared" si="22"/>
        <v>63466.190970265125</v>
      </c>
      <c r="G87" s="90">
        <f t="shared" si="22"/>
        <v>63466.190970265125</v>
      </c>
      <c r="H87" s="90">
        <f t="shared" si="22"/>
        <v>63466.190970265125</v>
      </c>
      <c r="I87" s="90">
        <f t="shared" si="22"/>
        <v>63466.190970265125</v>
      </c>
      <c r="J87" s="90">
        <f t="shared" si="22"/>
        <v>63466.190970265125</v>
      </c>
      <c r="K87" s="90">
        <f t="shared" si="22"/>
        <v>63466.190970265125</v>
      </c>
      <c r="L87" s="90">
        <f t="shared" si="22"/>
        <v>63466.190970265125</v>
      </c>
      <c r="M87" s="90">
        <f t="shared" si="22"/>
        <v>63466.190970265125</v>
      </c>
      <c r="N87" s="90">
        <f t="shared" si="22"/>
        <v>63466.190970265125</v>
      </c>
      <c r="O87" s="90">
        <f t="shared" si="22"/>
        <v>63466.190970265125</v>
      </c>
      <c r="P87" s="90">
        <f t="shared" si="22"/>
        <v>63466.190970265125</v>
      </c>
      <c r="Q87" s="90">
        <f t="shared" si="22"/>
        <v>63466.190970265125</v>
      </c>
      <c r="R87" s="90">
        <f t="shared" si="22"/>
        <v>63466.190970265125</v>
      </c>
      <c r="S87" s="90">
        <f t="shared" si="22"/>
        <v>63466.190970265125</v>
      </c>
      <c r="T87" s="90">
        <f t="shared" si="22"/>
        <v>63466.190970265125</v>
      </c>
      <c r="U87" s="90">
        <f t="shared" si="22"/>
        <v>63466.190970265125</v>
      </c>
    </row>
    <row r="89" spans="1:21" x14ac:dyDescent="0.25">
      <c r="A89" s="89" t="s">
        <v>146</v>
      </c>
      <c r="B89" s="90">
        <f>B87-B80</f>
        <v>48411.308905438105</v>
      </c>
      <c r="C89" s="90">
        <f>C87-C80</f>
        <v>45423.369428289792</v>
      </c>
      <c r="D89" s="90">
        <f t="shared" ref="D89:U89" si="23">D87-D80</f>
        <v>42765.983809142213</v>
      </c>
      <c r="E89" s="90">
        <f t="shared" si="23"/>
        <v>41352.754692240051</v>
      </c>
      <c r="F89" s="90">
        <f t="shared" si="23"/>
        <v>40124.327732786704</v>
      </c>
      <c r="G89" s="90">
        <f t="shared" si="23"/>
        <v>40124.327732786704</v>
      </c>
      <c r="H89" s="90">
        <f t="shared" si="23"/>
        <v>40124.327732786704</v>
      </c>
      <c r="I89" s="90">
        <f t="shared" si="23"/>
        <v>40124.327732786704</v>
      </c>
      <c r="J89" s="90">
        <f t="shared" si="23"/>
        <v>40124.327732786704</v>
      </c>
      <c r="K89" s="90">
        <f t="shared" si="23"/>
        <v>40124.327732786704</v>
      </c>
      <c r="L89" s="90">
        <f t="shared" si="23"/>
        <v>40124.327732786704</v>
      </c>
      <c r="M89" s="90">
        <f t="shared" si="23"/>
        <v>40124.327732786704</v>
      </c>
      <c r="N89" s="90">
        <f t="shared" si="23"/>
        <v>40124.327732786704</v>
      </c>
      <c r="O89" s="90">
        <f t="shared" si="23"/>
        <v>40124.327732786704</v>
      </c>
      <c r="P89" s="90">
        <f t="shared" si="23"/>
        <v>40124.327732786704</v>
      </c>
      <c r="Q89" s="90">
        <f t="shared" si="23"/>
        <v>40124.327732786704</v>
      </c>
      <c r="R89" s="90">
        <f t="shared" si="23"/>
        <v>40124.327732786704</v>
      </c>
      <c r="S89" s="90">
        <f t="shared" si="23"/>
        <v>40124.327732786704</v>
      </c>
      <c r="T89" s="90">
        <f t="shared" si="23"/>
        <v>40124.327732786704</v>
      </c>
      <c r="U89" s="90">
        <f t="shared" si="23"/>
        <v>40124.327732786704</v>
      </c>
    </row>
    <row r="90" spans="1:21" x14ac:dyDescent="0.25">
      <c r="A90" s="89"/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</row>
    <row r="91" spans="1:21" x14ac:dyDescent="0.25">
      <c r="A91" s="129" t="s">
        <v>210</v>
      </c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</row>
    <row r="92" spans="1:21" x14ac:dyDescent="0.25">
      <c r="A92" s="5" t="s">
        <v>148</v>
      </c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</row>
    <row r="93" spans="1:21" x14ac:dyDescent="0.25">
      <c r="A93" s="43" t="s">
        <v>144</v>
      </c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</row>
    <row r="94" spans="1:21" x14ac:dyDescent="0.25">
      <c r="A94" s="37" t="s">
        <v>88</v>
      </c>
      <c r="B94" s="3">
        <f t="shared" ref="B94:U94" si="24">B48*$D$2*B$24</f>
        <v>14048.817186721477</v>
      </c>
      <c r="C94" s="3">
        <f t="shared" si="24"/>
        <v>13485.858506007235</v>
      </c>
      <c r="D94" s="3">
        <f t="shared" si="24"/>
        <v>13014.202122493385</v>
      </c>
      <c r="E94" s="3">
        <f t="shared" si="24"/>
        <v>12610.180768998211</v>
      </c>
      <c r="F94" s="3">
        <f t="shared" si="24"/>
        <v>12258.010240638725</v>
      </c>
      <c r="G94" s="3">
        <f t="shared" si="24"/>
        <v>12258.010240638725</v>
      </c>
      <c r="H94" s="3">
        <f t="shared" si="24"/>
        <v>12258.010240638725</v>
      </c>
      <c r="I94" s="3">
        <f t="shared" si="24"/>
        <v>12258.010240638725</v>
      </c>
      <c r="J94" s="3">
        <f t="shared" si="24"/>
        <v>12258.010240638725</v>
      </c>
      <c r="K94" s="3">
        <f t="shared" si="24"/>
        <v>12258.010240638725</v>
      </c>
      <c r="L94" s="3">
        <f t="shared" si="24"/>
        <v>12258.010240638725</v>
      </c>
      <c r="M94" s="3">
        <f t="shared" si="24"/>
        <v>12258.010240638725</v>
      </c>
      <c r="N94" s="3">
        <f t="shared" si="24"/>
        <v>12258.010240638725</v>
      </c>
      <c r="O94" s="3">
        <f t="shared" si="24"/>
        <v>12258.010240638725</v>
      </c>
      <c r="P94" s="3">
        <f t="shared" si="24"/>
        <v>12258.010240638725</v>
      </c>
      <c r="Q94" s="3">
        <f t="shared" si="24"/>
        <v>12258.010240638725</v>
      </c>
      <c r="R94" s="3">
        <f t="shared" si="24"/>
        <v>12258.010240638725</v>
      </c>
      <c r="S94" s="3">
        <f t="shared" si="24"/>
        <v>12258.010240638725</v>
      </c>
      <c r="T94" s="3">
        <f t="shared" si="24"/>
        <v>12258.010240638725</v>
      </c>
      <c r="U94" s="3">
        <f t="shared" si="24"/>
        <v>12258.010240638725</v>
      </c>
    </row>
    <row r="95" spans="1:21" x14ac:dyDescent="0.25">
      <c r="A95" s="37" t="s">
        <v>87</v>
      </c>
      <c r="B95" s="3">
        <f t="shared" ref="B95:U95" si="25">B49*$D$3*B$24</f>
        <v>12844.632856431064</v>
      </c>
      <c r="C95" s="3">
        <f t="shared" si="25"/>
        <v>12329.9277769209</v>
      </c>
      <c r="D95" s="3">
        <f t="shared" si="25"/>
        <v>11898.699083422523</v>
      </c>
      <c r="E95" s="3">
        <f t="shared" si="25"/>
        <v>11529.308131655505</v>
      </c>
      <c r="F95" s="3">
        <f t="shared" si="25"/>
        <v>11207.323648583977</v>
      </c>
      <c r="G95" s="3">
        <f t="shared" si="25"/>
        <v>11207.323648583977</v>
      </c>
      <c r="H95" s="3">
        <f t="shared" si="25"/>
        <v>11207.323648583977</v>
      </c>
      <c r="I95" s="3">
        <f t="shared" si="25"/>
        <v>11207.323648583977</v>
      </c>
      <c r="J95" s="3">
        <f t="shared" si="25"/>
        <v>11207.323648583977</v>
      </c>
      <c r="K95" s="3">
        <f t="shared" si="25"/>
        <v>11207.323648583977</v>
      </c>
      <c r="L95" s="3">
        <f t="shared" si="25"/>
        <v>11207.323648583977</v>
      </c>
      <c r="M95" s="3">
        <f t="shared" si="25"/>
        <v>11207.323648583977</v>
      </c>
      <c r="N95" s="3">
        <f t="shared" si="25"/>
        <v>11207.323648583977</v>
      </c>
      <c r="O95" s="3">
        <f t="shared" si="25"/>
        <v>11207.323648583977</v>
      </c>
      <c r="P95" s="3">
        <f t="shared" si="25"/>
        <v>11207.323648583977</v>
      </c>
      <c r="Q95" s="3">
        <f t="shared" si="25"/>
        <v>11207.323648583977</v>
      </c>
      <c r="R95" s="3">
        <f t="shared" si="25"/>
        <v>11207.323648583977</v>
      </c>
      <c r="S95" s="3">
        <f t="shared" si="25"/>
        <v>11207.323648583977</v>
      </c>
      <c r="T95" s="3">
        <f t="shared" si="25"/>
        <v>11207.323648583977</v>
      </c>
      <c r="U95" s="3">
        <f t="shared" si="25"/>
        <v>11207.323648583977</v>
      </c>
    </row>
    <row r="96" spans="1:21" x14ac:dyDescent="0.25">
      <c r="A96" s="37" t="s">
        <v>41</v>
      </c>
      <c r="B96" s="3">
        <f t="shared" ref="B96:U96" si="26">B50*$D$4*B$24</f>
        <v>6422.3164282155321</v>
      </c>
      <c r="C96" s="3">
        <f t="shared" si="26"/>
        <v>6164.9638884604501</v>
      </c>
      <c r="D96" s="3">
        <f t="shared" si="26"/>
        <v>5949.3495417112617</v>
      </c>
      <c r="E96" s="3">
        <f t="shared" si="26"/>
        <v>5764.6540658277527</v>
      </c>
      <c r="F96" s="3">
        <f t="shared" si="26"/>
        <v>5603.6618242919885</v>
      </c>
      <c r="G96" s="3">
        <f t="shared" si="26"/>
        <v>5603.6618242919885</v>
      </c>
      <c r="H96" s="3">
        <f t="shared" si="26"/>
        <v>5603.6618242919885</v>
      </c>
      <c r="I96" s="3">
        <f t="shared" si="26"/>
        <v>5603.6618242919885</v>
      </c>
      <c r="J96" s="3">
        <f t="shared" si="26"/>
        <v>5603.6618242919885</v>
      </c>
      <c r="K96" s="3">
        <f t="shared" si="26"/>
        <v>5603.6618242919885</v>
      </c>
      <c r="L96" s="3">
        <f t="shared" si="26"/>
        <v>5603.6618242919885</v>
      </c>
      <c r="M96" s="3">
        <f t="shared" si="26"/>
        <v>5603.6618242919885</v>
      </c>
      <c r="N96" s="3">
        <f t="shared" si="26"/>
        <v>5603.6618242919885</v>
      </c>
      <c r="O96" s="3">
        <f t="shared" si="26"/>
        <v>5603.6618242919885</v>
      </c>
      <c r="P96" s="3">
        <f t="shared" si="26"/>
        <v>5603.6618242919885</v>
      </c>
      <c r="Q96" s="3">
        <f t="shared" si="26"/>
        <v>5603.6618242919885</v>
      </c>
      <c r="R96" s="3">
        <f t="shared" si="26"/>
        <v>5603.6618242919885</v>
      </c>
      <c r="S96" s="3">
        <f t="shared" si="26"/>
        <v>5603.6618242919885</v>
      </c>
      <c r="T96" s="3">
        <f t="shared" si="26"/>
        <v>5603.6618242919885</v>
      </c>
      <c r="U96" s="3">
        <f t="shared" si="26"/>
        <v>5603.6618242919885</v>
      </c>
    </row>
    <row r="97" spans="1:21" x14ac:dyDescent="0.25">
      <c r="A97" s="37" t="s">
        <v>178</v>
      </c>
      <c r="B97" s="3">
        <f>B51*$D$4*B$26</f>
        <v>270.83333333333331</v>
      </c>
      <c r="C97" s="3">
        <f t="shared" ref="C97:U97" si="27">C51*$D$4*C$26</f>
        <v>189.58333333333331</v>
      </c>
      <c r="D97" s="3">
        <f t="shared" si="27"/>
        <v>108.33333333333333</v>
      </c>
      <c r="E97" s="3">
        <f t="shared" si="27"/>
        <v>108.33333333333333</v>
      </c>
      <c r="F97" s="3">
        <f t="shared" si="27"/>
        <v>108.33333333333333</v>
      </c>
      <c r="G97" s="3">
        <f t="shared" si="27"/>
        <v>108.33333333333333</v>
      </c>
      <c r="H97" s="3">
        <f t="shared" si="27"/>
        <v>108.33333333333333</v>
      </c>
      <c r="I97" s="3">
        <f t="shared" si="27"/>
        <v>108.33333333333333</v>
      </c>
      <c r="J97" s="3">
        <f t="shared" si="27"/>
        <v>108.33333333333333</v>
      </c>
      <c r="K97" s="3">
        <f t="shared" si="27"/>
        <v>108.33333333333333</v>
      </c>
      <c r="L97" s="3">
        <f t="shared" si="27"/>
        <v>108.33333333333333</v>
      </c>
      <c r="M97" s="3">
        <f t="shared" si="27"/>
        <v>108.33333333333333</v>
      </c>
      <c r="N97" s="3">
        <f t="shared" si="27"/>
        <v>108.33333333333333</v>
      </c>
      <c r="O97" s="3">
        <f t="shared" si="27"/>
        <v>108.33333333333333</v>
      </c>
      <c r="P97" s="3">
        <f t="shared" si="27"/>
        <v>108.33333333333333</v>
      </c>
      <c r="Q97" s="3">
        <f t="shared" si="27"/>
        <v>108.33333333333333</v>
      </c>
      <c r="R97" s="3">
        <f t="shared" si="27"/>
        <v>108.33333333333333</v>
      </c>
      <c r="S97" s="3">
        <f t="shared" si="27"/>
        <v>108.33333333333333</v>
      </c>
      <c r="T97" s="3">
        <f t="shared" si="27"/>
        <v>108.33333333333333</v>
      </c>
      <c r="U97" s="3">
        <f t="shared" si="27"/>
        <v>108.33333333333333</v>
      </c>
    </row>
    <row r="98" spans="1:21" x14ac:dyDescent="0.25">
      <c r="A98" s="89" t="s">
        <v>18</v>
      </c>
      <c r="B98" s="90">
        <f>SUM(B94:B97)</f>
        <v>33586.599804701407</v>
      </c>
      <c r="C98" s="90">
        <f t="shared" ref="C98:U98" si="28">SUM(C94:C97)</f>
        <v>32170.333504721919</v>
      </c>
      <c r="D98" s="90">
        <f t="shared" si="28"/>
        <v>30970.5840809605</v>
      </c>
      <c r="E98" s="90">
        <f t="shared" si="28"/>
        <v>30012.4762998148</v>
      </c>
      <c r="F98" s="90">
        <f t="shared" si="28"/>
        <v>29177.329046848023</v>
      </c>
      <c r="G98" s="90">
        <f t="shared" si="28"/>
        <v>29177.329046848023</v>
      </c>
      <c r="H98" s="90">
        <f t="shared" si="28"/>
        <v>29177.329046848023</v>
      </c>
      <c r="I98" s="90">
        <f t="shared" si="28"/>
        <v>29177.329046848023</v>
      </c>
      <c r="J98" s="90">
        <f t="shared" si="28"/>
        <v>29177.329046848023</v>
      </c>
      <c r="K98" s="90">
        <f t="shared" si="28"/>
        <v>29177.329046848023</v>
      </c>
      <c r="L98" s="90">
        <f t="shared" si="28"/>
        <v>29177.329046848023</v>
      </c>
      <c r="M98" s="90">
        <f t="shared" si="28"/>
        <v>29177.329046848023</v>
      </c>
      <c r="N98" s="90">
        <f t="shared" si="28"/>
        <v>29177.329046848023</v>
      </c>
      <c r="O98" s="90">
        <f t="shared" si="28"/>
        <v>29177.329046848023</v>
      </c>
      <c r="P98" s="90">
        <f t="shared" si="28"/>
        <v>29177.329046848023</v>
      </c>
      <c r="Q98" s="90">
        <f t="shared" si="28"/>
        <v>29177.329046848023</v>
      </c>
      <c r="R98" s="90">
        <f t="shared" si="28"/>
        <v>29177.329046848023</v>
      </c>
      <c r="S98" s="90">
        <f t="shared" si="28"/>
        <v>29177.329046848023</v>
      </c>
      <c r="T98" s="90">
        <f t="shared" si="28"/>
        <v>29177.329046848023</v>
      </c>
      <c r="U98" s="90">
        <f t="shared" si="28"/>
        <v>29177.329046848023</v>
      </c>
    </row>
    <row r="99" spans="1:21" x14ac:dyDescent="0.25">
      <c r="A99" s="43" t="s">
        <v>145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</row>
    <row r="100" spans="1:21" x14ac:dyDescent="0.25">
      <c r="A100" s="37" t="s">
        <v>88</v>
      </c>
      <c r="B100" s="3">
        <f t="shared" ref="B100:U100" si="29">B53*$D$2*B$24</f>
        <v>16858.580624065773</v>
      </c>
      <c r="C100" s="3">
        <f t="shared" si="29"/>
        <v>16183.030207208682</v>
      </c>
      <c r="D100" s="3">
        <f t="shared" si="29"/>
        <v>15617.042546992063</v>
      </c>
      <c r="E100" s="3">
        <f t="shared" si="29"/>
        <v>15132.216922797852</v>
      </c>
      <c r="F100" s="3">
        <f t="shared" si="29"/>
        <v>14709.61228876647</v>
      </c>
      <c r="G100" s="3">
        <f t="shared" si="29"/>
        <v>14709.61228876647</v>
      </c>
      <c r="H100" s="3">
        <f t="shared" si="29"/>
        <v>14709.61228876647</v>
      </c>
      <c r="I100" s="3">
        <f t="shared" si="29"/>
        <v>14709.61228876647</v>
      </c>
      <c r="J100" s="3">
        <f t="shared" si="29"/>
        <v>14709.61228876647</v>
      </c>
      <c r="K100" s="3">
        <f t="shared" si="29"/>
        <v>14709.61228876647</v>
      </c>
      <c r="L100" s="3">
        <f t="shared" si="29"/>
        <v>14709.61228876647</v>
      </c>
      <c r="M100" s="3">
        <f t="shared" si="29"/>
        <v>14709.61228876647</v>
      </c>
      <c r="N100" s="3">
        <f t="shared" si="29"/>
        <v>14709.61228876647</v>
      </c>
      <c r="O100" s="3">
        <f t="shared" si="29"/>
        <v>14709.61228876647</v>
      </c>
      <c r="P100" s="3">
        <f t="shared" si="29"/>
        <v>14709.61228876647</v>
      </c>
      <c r="Q100" s="3">
        <f t="shared" si="29"/>
        <v>14709.61228876647</v>
      </c>
      <c r="R100" s="3">
        <f t="shared" si="29"/>
        <v>14709.61228876647</v>
      </c>
      <c r="S100" s="3">
        <f t="shared" si="29"/>
        <v>14709.61228876647</v>
      </c>
      <c r="T100" s="3">
        <f t="shared" si="29"/>
        <v>14709.61228876647</v>
      </c>
      <c r="U100" s="3">
        <f t="shared" si="29"/>
        <v>14709.61228876647</v>
      </c>
    </row>
    <row r="101" spans="1:21" x14ac:dyDescent="0.25">
      <c r="A101" s="37" t="s">
        <v>87</v>
      </c>
      <c r="B101" s="3">
        <f t="shared" ref="B101:U101" si="30">B54*$D$3*B$24</f>
        <v>13486.864499252619</v>
      </c>
      <c r="C101" s="3">
        <f t="shared" si="30"/>
        <v>12946.424165766944</v>
      </c>
      <c r="D101" s="3">
        <f t="shared" si="30"/>
        <v>12493.634037593651</v>
      </c>
      <c r="E101" s="3">
        <f t="shared" si="30"/>
        <v>12105.773538238282</v>
      </c>
      <c r="F101" s="3">
        <f t="shared" si="30"/>
        <v>11767.689831013176</v>
      </c>
      <c r="G101" s="3">
        <f t="shared" si="30"/>
        <v>11767.689831013176</v>
      </c>
      <c r="H101" s="3">
        <f t="shared" si="30"/>
        <v>11767.689831013176</v>
      </c>
      <c r="I101" s="3">
        <f t="shared" si="30"/>
        <v>11767.689831013176</v>
      </c>
      <c r="J101" s="3">
        <f t="shared" si="30"/>
        <v>11767.689831013176</v>
      </c>
      <c r="K101" s="3">
        <f t="shared" si="30"/>
        <v>11767.689831013176</v>
      </c>
      <c r="L101" s="3">
        <f t="shared" si="30"/>
        <v>11767.689831013176</v>
      </c>
      <c r="M101" s="3">
        <f t="shared" si="30"/>
        <v>11767.689831013176</v>
      </c>
      <c r="N101" s="3">
        <f t="shared" si="30"/>
        <v>11767.689831013176</v>
      </c>
      <c r="O101" s="3">
        <f t="shared" si="30"/>
        <v>11767.689831013176</v>
      </c>
      <c r="P101" s="3">
        <f t="shared" si="30"/>
        <v>11767.689831013176</v>
      </c>
      <c r="Q101" s="3">
        <f t="shared" si="30"/>
        <v>11767.689831013176</v>
      </c>
      <c r="R101" s="3">
        <f t="shared" si="30"/>
        <v>11767.689831013176</v>
      </c>
      <c r="S101" s="3">
        <f t="shared" si="30"/>
        <v>11767.689831013176</v>
      </c>
      <c r="T101" s="3">
        <f t="shared" si="30"/>
        <v>11767.689831013176</v>
      </c>
      <c r="U101" s="3">
        <f t="shared" si="30"/>
        <v>11767.689831013176</v>
      </c>
    </row>
    <row r="102" spans="1:21" x14ac:dyDescent="0.25">
      <c r="A102" s="37" t="s">
        <v>41</v>
      </c>
      <c r="B102" s="3">
        <f t="shared" ref="B102:U102" si="31">B55*$D$4*B$24</f>
        <v>17340.254356181937</v>
      </c>
      <c r="C102" s="3">
        <f t="shared" si="31"/>
        <v>16645.402498843214</v>
      </c>
      <c r="D102" s="3">
        <f t="shared" si="31"/>
        <v>16063.243762620406</v>
      </c>
      <c r="E102" s="3">
        <f t="shared" si="31"/>
        <v>15564.565977734934</v>
      </c>
      <c r="F102" s="3">
        <f t="shared" si="31"/>
        <v>15129.886925588369</v>
      </c>
      <c r="G102" s="3">
        <f t="shared" si="31"/>
        <v>15129.886925588369</v>
      </c>
      <c r="H102" s="3">
        <f t="shared" si="31"/>
        <v>15129.886925588369</v>
      </c>
      <c r="I102" s="3">
        <f t="shared" si="31"/>
        <v>15129.886925588369</v>
      </c>
      <c r="J102" s="3">
        <f t="shared" si="31"/>
        <v>15129.886925588369</v>
      </c>
      <c r="K102" s="3">
        <f t="shared" si="31"/>
        <v>15129.886925588369</v>
      </c>
      <c r="L102" s="3">
        <f t="shared" si="31"/>
        <v>15129.886925588369</v>
      </c>
      <c r="M102" s="3">
        <f t="shared" si="31"/>
        <v>15129.886925588369</v>
      </c>
      <c r="N102" s="3">
        <f t="shared" si="31"/>
        <v>15129.886925588369</v>
      </c>
      <c r="O102" s="3">
        <f t="shared" si="31"/>
        <v>15129.886925588369</v>
      </c>
      <c r="P102" s="3">
        <f t="shared" si="31"/>
        <v>15129.886925588369</v>
      </c>
      <c r="Q102" s="3">
        <f t="shared" si="31"/>
        <v>15129.886925588369</v>
      </c>
      <c r="R102" s="3">
        <f t="shared" si="31"/>
        <v>15129.886925588369</v>
      </c>
      <c r="S102" s="3">
        <f t="shared" si="31"/>
        <v>15129.886925588369</v>
      </c>
      <c r="T102" s="3">
        <f t="shared" si="31"/>
        <v>15129.886925588369</v>
      </c>
      <c r="U102" s="3">
        <f t="shared" si="31"/>
        <v>15129.886925588369</v>
      </c>
    </row>
    <row r="103" spans="1:21" x14ac:dyDescent="0.25">
      <c r="A103" s="37" t="s">
        <v>156</v>
      </c>
      <c r="B103" s="3">
        <f>B56*$D$2*B$26</f>
        <v>2666.015625</v>
      </c>
      <c r="C103" s="3">
        <f t="shared" ref="C103:U103" si="32">C56*$D$2*C$26</f>
        <v>1866.2109375</v>
      </c>
      <c r="D103" s="3">
        <f t="shared" si="32"/>
        <v>1066.40625</v>
      </c>
      <c r="E103" s="3">
        <f t="shared" si="32"/>
        <v>1066.40625</v>
      </c>
      <c r="F103" s="3">
        <f t="shared" si="32"/>
        <v>1066.40625</v>
      </c>
      <c r="G103" s="3">
        <f t="shared" si="32"/>
        <v>1066.40625</v>
      </c>
      <c r="H103" s="3">
        <f t="shared" si="32"/>
        <v>1066.40625</v>
      </c>
      <c r="I103" s="3">
        <f t="shared" si="32"/>
        <v>1066.40625</v>
      </c>
      <c r="J103" s="3">
        <f t="shared" si="32"/>
        <v>1066.40625</v>
      </c>
      <c r="K103" s="3">
        <f t="shared" si="32"/>
        <v>1066.40625</v>
      </c>
      <c r="L103" s="3">
        <f t="shared" si="32"/>
        <v>1066.40625</v>
      </c>
      <c r="M103" s="3">
        <f t="shared" si="32"/>
        <v>1066.40625</v>
      </c>
      <c r="N103" s="3">
        <f t="shared" si="32"/>
        <v>1066.40625</v>
      </c>
      <c r="O103" s="3">
        <f t="shared" si="32"/>
        <v>1066.40625</v>
      </c>
      <c r="P103" s="3">
        <f t="shared" si="32"/>
        <v>1066.40625</v>
      </c>
      <c r="Q103" s="3">
        <f t="shared" si="32"/>
        <v>1066.40625</v>
      </c>
      <c r="R103" s="3">
        <f t="shared" si="32"/>
        <v>1066.40625</v>
      </c>
      <c r="S103" s="3">
        <f t="shared" si="32"/>
        <v>1066.40625</v>
      </c>
      <c r="T103" s="3">
        <f t="shared" si="32"/>
        <v>1066.40625</v>
      </c>
      <c r="U103" s="3">
        <f t="shared" si="32"/>
        <v>1066.40625</v>
      </c>
    </row>
    <row r="104" spans="1:21" x14ac:dyDescent="0.25">
      <c r="A104" s="37" t="s">
        <v>157</v>
      </c>
      <c r="B104" s="3">
        <f>B57*$D$2*SUM(B$12:B$14)</f>
        <v>6108.7264573991033</v>
      </c>
      <c r="C104" s="3">
        <f t="shared" ref="C104:U104" si="33">C57*$D$2*SUM(C$12:C$14)</f>
        <v>5728.659364731654</v>
      </c>
      <c r="D104" s="3">
        <f t="shared" si="33"/>
        <v>5416.5117082268434</v>
      </c>
      <c r="E104" s="3">
        <f t="shared" si="33"/>
        <v>5153.0891102978521</v>
      </c>
      <c r="F104" s="3">
        <f t="shared" si="33"/>
        <v>4926.0479323308273</v>
      </c>
      <c r="G104" s="3">
        <f t="shared" si="33"/>
        <v>4926.0479323308273</v>
      </c>
      <c r="H104" s="3">
        <f t="shared" si="33"/>
        <v>4926.0479323308273</v>
      </c>
      <c r="I104" s="3">
        <f t="shared" si="33"/>
        <v>4926.0479323308273</v>
      </c>
      <c r="J104" s="3">
        <f t="shared" si="33"/>
        <v>4926.0479323308273</v>
      </c>
      <c r="K104" s="3">
        <f t="shared" si="33"/>
        <v>4926.0479323308273</v>
      </c>
      <c r="L104" s="3">
        <f t="shared" si="33"/>
        <v>4926.0479323308273</v>
      </c>
      <c r="M104" s="3">
        <f t="shared" si="33"/>
        <v>4926.0479323308273</v>
      </c>
      <c r="N104" s="3">
        <f t="shared" si="33"/>
        <v>4926.0479323308273</v>
      </c>
      <c r="O104" s="3">
        <f t="shared" si="33"/>
        <v>4926.0479323308273</v>
      </c>
      <c r="P104" s="3">
        <f t="shared" si="33"/>
        <v>4926.0479323308273</v>
      </c>
      <c r="Q104" s="3">
        <f t="shared" si="33"/>
        <v>4926.0479323308273</v>
      </c>
      <c r="R104" s="3">
        <f t="shared" si="33"/>
        <v>4926.0479323308273</v>
      </c>
      <c r="S104" s="3">
        <f t="shared" si="33"/>
        <v>4926.0479323308273</v>
      </c>
      <c r="T104" s="3">
        <f t="shared" si="33"/>
        <v>4926.0479323308273</v>
      </c>
      <c r="U104" s="3">
        <f t="shared" si="33"/>
        <v>4926.0479323308273</v>
      </c>
    </row>
    <row r="105" spans="1:21" x14ac:dyDescent="0.25">
      <c r="A105" s="89" t="s">
        <v>18</v>
      </c>
      <c r="B105" s="90">
        <f>SUM(B100:B104)</f>
        <v>56460.441561899432</v>
      </c>
      <c r="C105" s="90">
        <f t="shared" ref="C105:U105" si="34">SUM(C100:C104)</f>
        <v>53369.727174050495</v>
      </c>
      <c r="D105" s="90">
        <f t="shared" si="34"/>
        <v>50656.838305432961</v>
      </c>
      <c r="E105" s="90">
        <f t="shared" si="34"/>
        <v>49022.051799068919</v>
      </c>
      <c r="F105" s="90">
        <f t="shared" si="34"/>
        <v>47599.643227698842</v>
      </c>
      <c r="G105" s="90">
        <f t="shared" si="34"/>
        <v>47599.643227698842</v>
      </c>
      <c r="H105" s="90">
        <f t="shared" si="34"/>
        <v>47599.643227698842</v>
      </c>
      <c r="I105" s="90">
        <f t="shared" si="34"/>
        <v>47599.643227698842</v>
      </c>
      <c r="J105" s="90">
        <f t="shared" si="34"/>
        <v>47599.643227698842</v>
      </c>
      <c r="K105" s="90">
        <f t="shared" si="34"/>
        <v>47599.643227698842</v>
      </c>
      <c r="L105" s="90">
        <f t="shared" si="34"/>
        <v>47599.643227698842</v>
      </c>
      <c r="M105" s="90">
        <f t="shared" si="34"/>
        <v>47599.643227698842</v>
      </c>
      <c r="N105" s="90">
        <f t="shared" si="34"/>
        <v>47599.643227698842</v>
      </c>
      <c r="O105" s="90">
        <f t="shared" si="34"/>
        <v>47599.643227698842</v>
      </c>
      <c r="P105" s="90">
        <f t="shared" si="34"/>
        <v>47599.643227698842</v>
      </c>
      <c r="Q105" s="90">
        <f t="shared" si="34"/>
        <v>47599.643227698842</v>
      </c>
      <c r="R105" s="90">
        <f t="shared" si="34"/>
        <v>47599.643227698842</v>
      </c>
      <c r="S105" s="90">
        <f t="shared" si="34"/>
        <v>47599.643227698842</v>
      </c>
      <c r="T105" s="90">
        <f t="shared" si="34"/>
        <v>47599.643227698842</v>
      </c>
      <c r="U105" s="90">
        <f t="shared" si="34"/>
        <v>47599.643227698842</v>
      </c>
    </row>
    <row r="106" spans="1:21" x14ac:dyDescent="0.25"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</row>
    <row r="107" spans="1:21" x14ac:dyDescent="0.25">
      <c r="A107" s="89" t="s">
        <v>146</v>
      </c>
      <c r="B107" s="90">
        <f>B105-B98</f>
        <v>22873.841757198024</v>
      </c>
      <c r="C107" s="90">
        <f t="shared" ref="C107:U107" si="35">C105-C98</f>
        <v>21199.393669328576</v>
      </c>
      <c r="D107" s="90">
        <f t="shared" si="35"/>
        <v>19686.254224472461</v>
      </c>
      <c r="E107" s="90">
        <f t="shared" si="35"/>
        <v>19009.575499254119</v>
      </c>
      <c r="F107" s="90">
        <f t="shared" si="35"/>
        <v>18422.314180850819</v>
      </c>
      <c r="G107" s="90">
        <f t="shared" si="35"/>
        <v>18422.314180850819</v>
      </c>
      <c r="H107" s="90">
        <f t="shared" si="35"/>
        <v>18422.314180850819</v>
      </c>
      <c r="I107" s="90">
        <f t="shared" si="35"/>
        <v>18422.314180850819</v>
      </c>
      <c r="J107" s="90">
        <f t="shared" si="35"/>
        <v>18422.314180850819</v>
      </c>
      <c r="K107" s="90">
        <f t="shared" si="35"/>
        <v>18422.314180850819</v>
      </c>
      <c r="L107" s="90">
        <f t="shared" si="35"/>
        <v>18422.314180850819</v>
      </c>
      <c r="M107" s="90">
        <f t="shared" si="35"/>
        <v>18422.314180850819</v>
      </c>
      <c r="N107" s="90">
        <f t="shared" si="35"/>
        <v>18422.314180850819</v>
      </c>
      <c r="O107" s="90">
        <f t="shared" si="35"/>
        <v>18422.314180850819</v>
      </c>
      <c r="P107" s="90">
        <f t="shared" si="35"/>
        <v>18422.314180850819</v>
      </c>
      <c r="Q107" s="90">
        <f t="shared" si="35"/>
        <v>18422.314180850819</v>
      </c>
      <c r="R107" s="90">
        <f t="shared" si="35"/>
        <v>18422.314180850819</v>
      </c>
      <c r="S107" s="90">
        <f t="shared" si="35"/>
        <v>18422.314180850819</v>
      </c>
      <c r="T107" s="90">
        <f t="shared" si="35"/>
        <v>18422.314180850819</v>
      </c>
      <c r="U107" s="90">
        <f t="shared" si="35"/>
        <v>18422.314180850819</v>
      </c>
    </row>
    <row r="108" spans="1:21" x14ac:dyDescent="0.25">
      <c r="A108" s="89"/>
      <c r="B108" s="90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</row>
    <row r="109" spans="1:21" x14ac:dyDescent="0.25">
      <c r="A109" s="5" t="s">
        <v>168</v>
      </c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</row>
    <row r="110" spans="1:21" x14ac:dyDescent="0.25">
      <c r="A110" s="43" t="s">
        <v>144</v>
      </c>
      <c r="B110" s="90"/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</row>
    <row r="111" spans="1:21" x14ac:dyDescent="0.25">
      <c r="A111" s="37" t="s">
        <v>88</v>
      </c>
      <c r="B111" s="3">
        <f t="shared" ref="B111:U111" si="36">B61*$D$2*B$24</f>
        <v>15734.675249128053</v>
      </c>
      <c r="C111" s="3">
        <f t="shared" si="36"/>
        <v>15104.161526728101</v>
      </c>
      <c r="D111" s="3">
        <f t="shared" si="36"/>
        <v>14575.90637719259</v>
      </c>
      <c r="E111" s="3">
        <f t="shared" si="36"/>
        <v>14123.402461277994</v>
      </c>
      <c r="F111" s="3">
        <f t="shared" si="36"/>
        <v>13728.971469515371</v>
      </c>
      <c r="G111" s="3">
        <f t="shared" si="36"/>
        <v>13728.971469515371</v>
      </c>
      <c r="H111" s="3">
        <f t="shared" si="36"/>
        <v>13728.971469515371</v>
      </c>
      <c r="I111" s="3">
        <f t="shared" si="36"/>
        <v>13728.971469515371</v>
      </c>
      <c r="J111" s="3">
        <f t="shared" si="36"/>
        <v>13728.971469515371</v>
      </c>
      <c r="K111" s="3">
        <f t="shared" si="36"/>
        <v>13728.971469515371</v>
      </c>
      <c r="L111" s="3">
        <f t="shared" si="36"/>
        <v>13728.971469515371</v>
      </c>
      <c r="M111" s="3">
        <f t="shared" si="36"/>
        <v>13728.971469515371</v>
      </c>
      <c r="N111" s="3">
        <f t="shared" si="36"/>
        <v>13728.971469515371</v>
      </c>
      <c r="O111" s="3">
        <f t="shared" si="36"/>
        <v>13728.971469515371</v>
      </c>
      <c r="P111" s="3">
        <f t="shared" si="36"/>
        <v>13728.971469515371</v>
      </c>
      <c r="Q111" s="3">
        <f t="shared" si="36"/>
        <v>13728.971469515371</v>
      </c>
      <c r="R111" s="3">
        <f t="shared" si="36"/>
        <v>13728.971469515371</v>
      </c>
      <c r="S111" s="3">
        <f t="shared" si="36"/>
        <v>13728.971469515371</v>
      </c>
      <c r="T111" s="3">
        <f t="shared" si="36"/>
        <v>13728.971469515371</v>
      </c>
      <c r="U111" s="3">
        <f t="shared" si="36"/>
        <v>13728.971469515371</v>
      </c>
    </row>
    <row r="112" spans="1:21" x14ac:dyDescent="0.25">
      <c r="A112" s="37" t="s">
        <v>87</v>
      </c>
      <c r="B112" s="3">
        <f t="shared" ref="B112:U112" si="37">B62*$D$3*B$24</f>
        <v>14385.988799202793</v>
      </c>
      <c r="C112" s="3">
        <f t="shared" si="37"/>
        <v>13809.519110151408</v>
      </c>
      <c r="D112" s="3">
        <f t="shared" si="37"/>
        <v>13326.542973433227</v>
      </c>
      <c r="E112" s="3">
        <f t="shared" si="37"/>
        <v>12912.825107454166</v>
      </c>
      <c r="F112" s="3">
        <f t="shared" si="37"/>
        <v>12552.202486414055</v>
      </c>
      <c r="G112" s="3">
        <f t="shared" si="37"/>
        <v>12552.202486414055</v>
      </c>
      <c r="H112" s="3">
        <f t="shared" si="37"/>
        <v>12552.202486414055</v>
      </c>
      <c r="I112" s="3">
        <f t="shared" si="37"/>
        <v>12552.202486414055</v>
      </c>
      <c r="J112" s="3">
        <f t="shared" si="37"/>
        <v>12552.202486414055</v>
      </c>
      <c r="K112" s="3">
        <f t="shared" si="37"/>
        <v>12552.202486414055</v>
      </c>
      <c r="L112" s="3">
        <f t="shared" si="37"/>
        <v>12552.202486414055</v>
      </c>
      <c r="M112" s="3">
        <f t="shared" si="37"/>
        <v>12552.202486414055</v>
      </c>
      <c r="N112" s="3">
        <f t="shared" si="37"/>
        <v>12552.202486414055</v>
      </c>
      <c r="O112" s="3">
        <f t="shared" si="37"/>
        <v>12552.202486414055</v>
      </c>
      <c r="P112" s="3">
        <f t="shared" si="37"/>
        <v>12552.202486414055</v>
      </c>
      <c r="Q112" s="3">
        <f t="shared" si="37"/>
        <v>12552.202486414055</v>
      </c>
      <c r="R112" s="3">
        <f t="shared" si="37"/>
        <v>12552.202486414055</v>
      </c>
      <c r="S112" s="3">
        <f t="shared" si="37"/>
        <v>12552.202486414055</v>
      </c>
      <c r="T112" s="3">
        <f t="shared" si="37"/>
        <v>12552.202486414055</v>
      </c>
      <c r="U112" s="3">
        <f t="shared" si="37"/>
        <v>12552.202486414055</v>
      </c>
    </row>
    <row r="113" spans="1:21" x14ac:dyDescent="0.25">
      <c r="A113" s="37" t="s">
        <v>41</v>
      </c>
      <c r="B113" s="3">
        <f t="shared" ref="B113:U113" si="38">B63*$D$4*B$24</f>
        <v>7192.9943996013963</v>
      </c>
      <c r="C113" s="3">
        <f t="shared" si="38"/>
        <v>6904.7595550757042</v>
      </c>
      <c r="D113" s="3">
        <f t="shared" si="38"/>
        <v>6663.2714867166133</v>
      </c>
      <c r="E113" s="3">
        <f t="shared" si="38"/>
        <v>6456.4125537270829</v>
      </c>
      <c r="F113" s="3">
        <f t="shared" si="38"/>
        <v>6276.1012432070274</v>
      </c>
      <c r="G113" s="3">
        <f t="shared" si="38"/>
        <v>6276.1012432070274</v>
      </c>
      <c r="H113" s="3">
        <f t="shared" si="38"/>
        <v>6276.1012432070274</v>
      </c>
      <c r="I113" s="3">
        <f t="shared" si="38"/>
        <v>6276.1012432070274</v>
      </c>
      <c r="J113" s="3">
        <f t="shared" si="38"/>
        <v>6276.1012432070274</v>
      </c>
      <c r="K113" s="3">
        <f t="shared" si="38"/>
        <v>6276.1012432070274</v>
      </c>
      <c r="L113" s="3">
        <f t="shared" si="38"/>
        <v>6276.1012432070274</v>
      </c>
      <c r="M113" s="3">
        <f t="shared" si="38"/>
        <v>6276.1012432070274</v>
      </c>
      <c r="N113" s="3">
        <f t="shared" si="38"/>
        <v>6276.1012432070274</v>
      </c>
      <c r="O113" s="3">
        <f t="shared" si="38"/>
        <v>6276.1012432070274</v>
      </c>
      <c r="P113" s="3">
        <f t="shared" si="38"/>
        <v>6276.1012432070274</v>
      </c>
      <c r="Q113" s="3">
        <f t="shared" si="38"/>
        <v>6276.1012432070274</v>
      </c>
      <c r="R113" s="3">
        <f t="shared" si="38"/>
        <v>6276.1012432070274</v>
      </c>
      <c r="S113" s="3">
        <f t="shared" si="38"/>
        <v>6276.1012432070274</v>
      </c>
      <c r="T113" s="3">
        <f t="shared" si="38"/>
        <v>6276.1012432070274</v>
      </c>
      <c r="U113" s="3">
        <f t="shared" si="38"/>
        <v>6276.1012432070274</v>
      </c>
    </row>
    <row r="114" spans="1:21" x14ac:dyDescent="0.25">
      <c r="A114" s="37" t="s">
        <v>178</v>
      </c>
      <c r="B114" s="3">
        <f>B64*$D$4*B$26</f>
        <v>303.33333333333331</v>
      </c>
      <c r="C114" s="3">
        <f t="shared" ref="C114:U114" si="39">C64*$D$4*C$26</f>
        <v>212.33333333333331</v>
      </c>
      <c r="D114" s="3">
        <f t="shared" si="39"/>
        <v>121.33333333333331</v>
      </c>
      <c r="E114" s="3">
        <f t="shared" si="39"/>
        <v>121.33333333333331</v>
      </c>
      <c r="F114" s="3">
        <f t="shared" si="39"/>
        <v>121.33333333333331</v>
      </c>
      <c r="G114" s="3">
        <f t="shared" si="39"/>
        <v>121.33333333333331</v>
      </c>
      <c r="H114" s="3">
        <f t="shared" si="39"/>
        <v>121.33333333333331</v>
      </c>
      <c r="I114" s="3">
        <f t="shared" si="39"/>
        <v>121.33333333333331</v>
      </c>
      <c r="J114" s="3">
        <f t="shared" si="39"/>
        <v>121.33333333333331</v>
      </c>
      <c r="K114" s="3">
        <f t="shared" si="39"/>
        <v>121.33333333333331</v>
      </c>
      <c r="L114" s="3">
        <f t="shared" si="39"/>
        <v>121.33333333333331</v>
      </c>
      <c r="M114" s="3">
        <f t="shared" si="39"/>
        <v>121.33333333333331</v>
      </c>
      <c r="N114" s="3">
        <f t="shared" si="39"/>
        <v>121.33333333333331</v>
      </c>
      <c r="O114" s="3">
        <f t="shared" si="39"/>
        <v>121.33333333333331</v>
      </c>
      <c r="P114" s="3">
        <f t="shared" si="39"/>
        <v>121.33333333333331</v>
      </c>
      <c r="Q114" s="3">
        <f t="shared" si="39"/>
        <v>121.33333333333331</v>
      </c>
      <c r="R114" s="3">
        <f t="shared" si="39"/>
        <v>121.33333333333331</v>
      </c>
      <c r="S114" s="3">
        <f t="shared" si="39"/>
        <v>121.33333333333331</v>
      </c>
      <c r="T114" s="3">
        <f t="shared" si="39"/>
        <v>121.33333333333331</v>
      </c>
      <c r="U114" s="3">
        <f t="shared" si="39"/>
        <v>121.33333333333331</v>
      </c>
    </row>
    <row r="115" spans="1:21" x14ac:dyDescent="0.25">
      <c r="A115" s="89" t="s">
        <v>18</v>
      </c>
      <c r="B115" s="90">
        <f>SUM(B111:B114)</f>
        <v>37616.991781265577</v>
      </c>
      <c r="C115" s="90">
        <f t="shared" ref="C115:U115" si="40">SUM(C111:C114)</f>
        <v>36030.773525288547</v>
      </c>
      <c r="D115" s="90">
        <f t="shared" si="40"/>
        <v>34687.054170675765</v>
      </c>
      <c r="E115" s="90">
        <f t="shared" si="40"/>
        <v>33613.973455792577</v>
      </c>
      <c r="F115" s="90">
        <f t="shared" si="40"/>
        <v>32678.608532469785</v>
      </c>
      <c r="G115" s="90">
        <f t="shared" si="40"/>
        <v>32678.608532469785</v>
      </c>
      <c r="H115" s="90">
        <f t="shared" si="40"/>
        <v>32678.608532469785</v>
      </c>
      <c r="I115" s="90">
        <f t="shared" si="40"/>
        <v>32678.608532469785</v>
      </c>
      <c r="J115" s="90">
        <f t="shared" si="40"/>
        <v>32678.608532469785</v>
      </c>
      <c r="K115" s="90">
        <f t="shared" si="40"/>
        <v>32678.608532469785</v>
      </c>
      <c r="L115" s="90">
        <f t="shared" si="40"/>
        <v>32678.608532469785</v>
      </c>
      <c r="M115" s="90">
        <f t="shared" si="40"/>
        <v>32678.608532469785</v>
      </c>
      <c r="N115" s="90">
        <f t="shared" si="40"/>
        <v>32678.608532469785</v>
      </c>
      <c r="O115" s="90">
        <f t="shared" si="40"/>
        <v>32678.608532469785</v>
      </c>
      <c r="P115" s="90">
        <f t="shared" si="40"/>
        <v>32678.608532469785</v>
      </c>
      <c r="Q115" s="90">
        <f t="shared" si="40"/>
        <v>32678.608532469785</v>
      </c>
      <c r="R115" s="90">
        <f t="shared" si="40"/>
        <v>32678.608532469785</v>
      </c>
      <c r="S115" s="90">
        <f t="shared" si="40"/>
        <v>32678.608532469785</v>
      </c>
      <c r="T115" s="90">
        <f t="shared" si="40"/>
        <v>32678.608532469785</v>
      </c>
      <c r="U115" s="90">
        <f t="shared" si="40"/>
        <v>32678.608532469785</v>
      </c>
    </row>
    <row r="116" spans="1:21" x14ac:dyDescent="0.25">
      <c r="A116" s="43" t="s">
        <v>145</v>
      </c>
      <c r="B116" s="90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</row>
    <row r="117" spans="1:21" x14ac:dyDescent="0.25">
      <c r="A117" s="37" t="s">
        <v>88</v>
      </c>
      <c r="B117" s="3">
        <f t="shared" ref="B117:U117" si="41">B66*$D$2*B$24</f>
        <v>13486.864499252619</v>
      </c>
      <c r="C117" s="3">
        <f t="shared" si="41"/>
        <v>12946.424165766944</v>
      </c>
      <c r="D117" s="3">
        <f t="shared" si="41"/>
        <v>12493.634037593651</v>
      </c>
      <c r="E117" s="3">
        <f t="shared" si="41"/>
        <v>12105.773538238282</v>
      </c>
      <c r="F117" s="3">
        <f t="shared" si="41"/>
        <v>11767.689831013176</v>
      </c>
      <c r="G117" s="3">
        <f t="shared" si="41"/>
        <v>11767.689831013176</v>
      </c>
      <c r="H117" s="3">
        <f t="shared" si="41"/>
        <v>11767.689831013176</v>
      </c>
      <c r="I117" s="3">
        <f t="shared" si="41"/>
        <v>11767.689831013176</v>
      </c>
      <c r="J117" s="3">
        <f t="shared" si="41"/>
        <v>11767.689831013176</v>
      </c>
      <c r="K117" s="3">
        <f t="shared" si="41"/>
        <v>11767.689831013176</v>
      </c>
      <c r="L117" s="3">
        <f t="shared" si="41"/>
        <v>11767.689831013176</v>
      </c>
      <c r="M117" s="3">
        <f t="shared" si="41"/>
        <v>11767.689831013176</v>
      </c>
      <c r="N117" s="3">
        <f t="shared" si="41"/>
        <v>11767.689831013176</v>
      </c>
      <c r="O117" s="3">
        <f t="shared" si="41"/>
        <v>11767.689831013176</v>
      </c>
      <c r="P117" s="3">
        <f t="shared" si="41"/>
        <v>11767.689831013176</v>
      </c>
      <c r="Q117" s="3">
        <f t="shared" si="41"/>
        <v>11767.689831013176</v>
      </c>
      <c r="R117" s="3">
        <f t="shared" si="41"/>
        <v>11767.689831013176</v>
      </c>
      <c r="S117" s="3">
        <f t="shared" si="41"/>
        <v>11767.689831013176</v>
      </c>
      <c r="T117" s="3">
        <f t="shared" si="41"/>
        <v>11767.689831013176</v>
      </c>
      <c r="U117" s="3">
        <f t="shared" si="41"/>
        <v>11767.689831013176</v>
      </c>
    </row>
    <row r="118" spans="1:21" x14ac:dyDescent="0.25">
      <c r="A118" s="37" t="s">
        <v>87</v>
      </c>
      <c r="B118" s="3">
        <f t="shared" ref="B118:U118" si="42">B67*$D$3*B$24</f>
        <v>10789.491599402094</v>
      </c>
      <c r="C118" s="3">
        <f t="shared" si="42"/>
        <v>10357.139332613557</v>
      </c>
      <c r="D118" s="3">
        <f t="shared" si="42"/>
        <v>9994.9072300749194</v>
      </c>
      <c r="E118" s="3">
        <f t="shared" si="42"/>
        <v>9684.6188305906253</v>
      </c>
      <c r="F118" s="3">
        <f t="shared" si="42"/>
        <v>9414.1518648105412</v>
      </c>
      <c r="G118" s="3">
        <f t="shared" si="42"/>
        <v>9414.1518648105412</v>
      </c>
      <c r="H118" s="3">
        <f t="shared" si="42"/>
        <v>9414.1518648105412</v>
      </c>
      <c r="I118" s="3">
        <f t="shared" si="42"/>
        <v>9414.1518648105412</v>
      </c>
      <c r="J118" s="3">
        <f t="shared" si="42"/>
        <v>9414.1518648105412</v>
      </c>
      <c r="K118" s="3">
        <f t="shared" si="42"/>
        <v>9414.1518648105412</v>
      </c>
      <c r="L118" s="3">
        <f t="shared" si="42"/>
        <v>9414.1518648105412</v>
      </c>
      <c r="M118" s="3">
        <f t="shared" si="42"/>
        <v>9414.1518648105412</v>
      </c>
      <c r="N118" s="3">
        <f t="shared" si="42"/>
        <v>9414.1518648105412</v>
      </c>
      <c r="O118" s="3">
        <f t="shared" si="42"/>
        <v>9414.1518648105412</v>
      </c>
      <c r="P118" s="3">
        <f t="shared" si="42"/>
        <v>9414.1518648105412</v>
      </c>
      <c r="Q118" s="3">
        <f t="shared" si="42"/>
        <v>9414.1518648105412</v>
      </c>
      <c r="R118" s="3">
        <f t="shared" si="42"/>
        <v>9414.1518648105412</v>
      </c>
      <c r="S118" s="3">
        <f t="shared" si="42"/>
        <v>9414.1518648105412</v>
      </c>
      <c r="T118" s="3">
        <f t="shared" si="42"/>
        <v>9414.1518648105412</v>
      </c>
      <c r="U118" s="3">
        <f t="shared" si="42"/>
        <v>9414.1518648105412</v>
      </c>
    </row>
    <row r="119" spans="1:21" x14ac:dyDescent="0.25">
      <c r="A119" s="37" t="s">
        <v>41</v>
      </c>
      <c r="B119" s="3">
        <f t="shared" ref="B119:U119" si="43">B68*$D$4*B$24</f>
        <v>13872.203484945549</v>
      </c>
      <c r="C119" s="3">
        <f t="shared" si="43"/>
        <v>13316.321999074569</v>
      </c>
      <c r="D119" s="3">
        <f t="shared" si="43"/>
        <v>12850.595010096324</v>
      </c>
      <c r="E119" s="3">
        <f t="shared" si="43"/>
        <v>12451.652782187944</v>
      </c>
      <c r="F119" s="3">
        <f t="shared" si="43"/>
        <v>12103.909540470693</v>
      </c>
      <c r="G119" s="3">
        <f t="shared" si="43"/>
        <v>12103.909540470693</v>
      </c>
      <c r="H119" s="3">
        <f t="shared" si="43"/>
        <v>12103.909540470693</v>
      </c>
      <c r="I119" s="3">
        <f t="shared" si="43"/>
        <v>12103.909540470693</v>
      </c>
      <c r="J119" s="3">
        <f t="shared" si="43"/>
        <v>12103.909540470693</v>
      </c>
      <c r="K119" s="3">
        <f t="shared" si="43"/>
        <v>12103.909540470693</v>
      </c>
      <c r="L119" s="3">
        <f t="shared" si="43"/>
        <v>12103.909540470693</v>
      </c>
      <c r="M119" s="3">
        <f t="shared" si="43"/>
        <v>12103.909540470693</v>
      </c>
      <c r="N119" s="3">
        <f t="shared" si="43"/>
        <v>12103.909540470693</v>
      </c>
      <c r="O119" s="3">
        <f t="shared" si="43"/>
        <v>12103.909540470693</v>
      </c>
      <c r="P119" s="3">
        <f t="shared" si="43"/>
        <v>12103.909540470693</v>
      </c>
      <c r="Q119" s="3">
        <f t="shared" si="43"/>
        <v>12103.909540470693</v>
      </c>
      <c r="R119" s="3">
        <f t="shared" si="43"/>
        <v>12103.909540470693</v>
      </c>
      <c r="S119" s="3">
        <f t="shared" si="43"/>
        <v>12103.909540470693</v>
      </c>
      <c r="T119" s="3">
        <f t="shared" si="43"/>
        <v>12103.909540470693</v>
      </c>
      <c r="U119" s="3">
        <f t="shared" si="43"/>
        <v>12103.909540470693</v>
      </c>
    </row>
    <row r="120" spans="1:21" x14ac:dyDescent="0.25">
      <c r="A120" s="37" t="s">
        <v>156</v>
      </c>
      <c r="B120" s="3">
        <f>B69*$D$2*B$26</f>
        <v>2132.8125</v>
      </c>
      <c r="C120" s="3">
        <f t="shared" ref="C120:U120" si="44">C69*$D$2*C$26</f>
        <v>1492.96875</v>
      </c>
      <c r="D120" s="3">
        <f t="shared" si="44"/>
        <v>853.125</v>
      </c>
      <c r="E120" s="3">
        <f t="shared" si="44"/>
        <v>853.125</v>
      </c>
      <c r="F120" s="3">
        <f t="shared" si="44"/>
        <v>853.125</v>
      </c>
      <c r="G120" s="3">
        <f t="shared" si="44"/>
        <v>853.125</v>
      </c>
      <c r="H120" s="3">
        <f t="shared" si="44"/>
        <v>853.125</v>
      </c>
      <c r="I120" s="3">
        <f t="shared" si="44"/>
        <v>853.125</v>
      </c>
      <c r="J120" s="3">
        <f t="shared" si="44"/>
        <v>853.125</v>
      </c>
      <c r="K120" s="3">
        <f t="shared" si="44"/>
        <v>853.125</v>
      </c>
      <c r="L120" s="3">
        <f t="shared" si="44"/>
        <v>853.125</v>
      </c>
      <c r="M120" s="3">
        <f t="shared" si="44"/>
        <v>853.125</v>
      </c>
      <c r="N120" s="3">
        <f t="shared" si="44"/>
        <v>853.125</v>
      </c>
      <c r="O120" s="3">
        <f t="shared" si="44"/>
        <v>853.125</v>
      </c>
      <c r="P120" s="3">
        <f t="shared" si="44"/>
        <v>853.125</v>
      </c>
      <c r="Q120" s="3">
        <f t="shared" si="44"/>
        <v>853.125</v>
      </c>
      <c r="R120" s="3">
        <f t="shared" si="44"/>
        <v>853.125</v>
      </c>
      <c r="S120" s="3">
        <f t="shared" si="44"/>
        <v>853.125</v>
      </c>
      <c r="T120" s="3">
        <f t="shared" si="44"/>
        <v>853.125</v>
      </c>
      <c r="U120" s="3">
        <f t="shared" si="44"/>
        <v>853.125</v>
      </c>
    </row>
    <row r="121" spans="1:21" x14ac:dyDescent="0.25">
      <c r="A121" s="37" t="s">
        <v>157</v>
      </c>
      <c r="B121" s="3">
        <f>B70*$D$2*SUM(B$12:B$14)</f>
        <v>4886.9811659192828</v>
      </c>
      <c r="C121" s="3">
        <f t="shared" ref="C121:U121" si="45">C70*$D$2*SUM(C$12:C$14)</f>
        <v>4582.9274917853236</v>
      </c>
      <c r="D121" s="3">
        <f t="shared" si="45"/>
        <v>4333.2093665814746</v>
      </c>
      <c r="E121" s="3">
        <f t="shared" si="45"/>
        <v>4122.471288238281</v>
      </c>
      <c r="F121" s="3">
        <f t="shared" si="45"/>
        <v>3940.8383458646617</v>
      </c>
      <c r="G121" s="3">
        <f t="shared" si="45"/>
        <v>3940.8383458646617</v>
      </c>
      <c r="H121" s="3">
        <f t="shared" si="45"/>
        <v>3940.8383458646617</v>
      </c>
      <c r="I121" s="3">
        <f t="shared" si="45"/>
        <v>3940.8383458646617</v>
      </c>
      <c r="J121" s="3">
        <f t="shared" si="45"/>
        <v>3940.8383458646617</v>
      </c>
      <c r="K121" s="3">
        <f t="shared" si="45"/>
        <v>3940.8383458646617</v>
      </c>
      <c r="L121" s="3">
        <f t="shared" si="45"/>
        <v>3940.8383458646617</v>
      </c>
      <c r="M121" s="3">
        <f t="shared" si="45"/>
        <v>3940.8383458646617</v>
      </c>
      <c r="N121" s="3">
        <f t="shared" si="45"/>
        <v>3940.8383458646617</v>
      </c>
      <c r="O121" s="3">
        <f t="shared" si="45"/>
        <v>3940.8383458646617</v>
      </c>
      <c r="P121" s="3">
        <f t="shared" si="45"/>
        <v>3940.8383458646617</v>
      </c>
      <c r="Q121" s="3">
        <f t="shared" si="45"/>
        <v>3940.8383458646617</v>
      </c>
      <c r="R121" s="3">
        <f t="shared" si="45"/>
        <v>3940.8383458646617</v>
      </c>
      <c r="S121" s="3">
        <f t="shared" si="45"/>
        <v>3940.8383458646617</v>
      </c>
      <c r="T121" s="3">
        <f t="shared" si="45"/>
        <v>3940.8383458646617</v>
      </c>
      <c r="U121" s="3">
        <f t="shared" si="45"/>
        <v>3940.8383458646617</v>
      </c>
    </row>
    <row r="122" spans="1:21" x14ac:dyDescent="0.25">
      <c r="A122" s="89" t="s">
        <v>18</v>
      </c>
      <c r="B122" s="90">
        <f>SUM(B117:B121)</f>
        <v>45168.353249519547</v>
      </c>
      <c r="C122" s="90">
        <f t="shared" ref="C122:U122" si="46">SUM(C117:C121)</f>
        <v>42695.781739240396</v>
      </c>
      <c r="D122" s="90">
        <f t="shared" si="46"/>
        <v>40525.470644346366</v>
      </c>
      <c r="E122" s="90">
        <f t="shared" si="46"/>
        <v>39217.641439255131</v>
      </c>
      <c r="F122" s="90">
        <f t="shared" si="46"/>
        <v>38079.714582159075</v>
      </c>
      <c r="G122" s="90">
        <f t="shared" si="46"/>
        <v>38079.714582159075</v>
      </c>
      <c r="H122" s="90">
        <f t="shared" si="46"/>
        <v>38079.714582159075</v>
      </c>
      <c r="I122" s="90">
        <f t="shared" si="46"/>
        <v>38079.714582159075</v>
      </c>
      <c r="J122" s="90">
        <f t="shared" si="46"/>
        <v>38079.714582159075</v>
      </c>
      <c r="K122" s="90">
        <f t="shared" si="46"/>
        <v>38079.714582159075</v>
      </c>
      <c r="L122" s="90">
        <f t="shared" si="46"/>
        <v>38079.714582159075</v>
      </c>
      <c r="M122" s="90">
        <f t="shared" si="46"/>
        <v>38079.714582159075</v>
      </c>
      <c r="N122" s="90">
        <f t="shared" si="46"/>
        <v>38079.714582159075</v>
      </c>
      <c r="O122" s="90">
        <f t="shared" si="46"/>
        <v>38079.714582159075</v>
      </c>
      <c r="P122" s="90">
        <f t="shared" si="46"/>
        <v>38079.714582159075</v>
      </c>
      <c r="Q122" s="90">
        <f t="shared" si="46"/>
        <v>38079.714582159075</v>
      </c>
      <c r="R122" s="90">
        <f t="shared" si="46"/>
        <v>38079.714582159075</v>
      </c>
      <c r="S122" s="90">
        <f t="shared" si="46"/>
        <v>38079.714582159075</v>
      </c>
      <c r="T122" s="90">
        <f t="shared" si="46"/>
        <v>38079.714582159075</v>
      </c>
      <c r="U122" s="90">
        <f t="shared" si="46"/>
        <v>38079.714582159075</v>
      </c>
    </row>
    <row r="123" spans="1:21" x14ac:dyDescent="0.25">
      <c r="A123" s="89"/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</row>
    <row r="124" spans="1:21" x14ac:dyDescent="0.25">
      <c r="A124" s="89" t="s">
        <v>146</v>
      </c>
      <c r="B124" s="90">
        <f>B122-B115</f>
        <v>7551.3614682539701</v>
      </c>
      <c r="C124" s="90">
        <f t="shared" ref="C124:U124" si="47">C122-C115</f>
        <v>6665.008213951849</v>
      </c>
      <c r="D124" s="90">
        <f t="shared" si="47"/>
        <v>5838.4164736706007</v>
      </c>
      <c r="E124" s="90">
        <f t="shared" si="47"/>
        <v>5603.6679834625538</v>
      </c>
      <c r="F124" s="90">
        <f t="shared" si="47"/>
        <v>5401.1060496892896</v>
      </c>
      <c r="G124" s="90">
        <f t="shared" si="47"/>
        <v>5401.1060496892896</v>
      </c>
      <c r="H124" s="90">
        <f t="shared" si="47"/>
        <v>5401.1060496892896</v>
      </c>
      <c r="I124" s="90">
        <f t="shared" si="47"/>
        <v>5401.1060496892896</v>
      </c>
      <c r="J124" s="90">
        <f t="shared" si="47"/>
        <v>5401.1060496892896</v>
      </c>
      <c r="K124" s="90">
        <f t="shared" si="47"/>
        <v>5401.1060496892896</v>
      </c>
      <c r="L124" s="90">
        <f t="shared" si="47"/>
        <v>5401.1060496892896</v>
      </c>
      <c r="M124" s="90">
        <f t="shared" si="47"/>
        <v>5401.1060496892896</v>
      </c>
      <c r="N124" s="90">
        <f t="shared" si="47"/>
        <v>5401.1060496892896</v>
      </c>
      <c r="O124" s="90">
        <f t="shared" si="47"/>
        <v>5401.1060496892896</v>
      </c>
      <c r="P124" s="90">
        <f t="shared" si="47"/>
        <v>5401.1060496892896</v>
      </c>
      <c r="Q124" s="90">
        <f t="shared" si="47"/>
        <v>5401.1060496892896</v>
      </c>
      <c r="R124" s="90">
        <f t="shared" si="47"/>
        <v>5401.1060496892896</v>
      </c>
      <c r="S124" s="90">
        <f t="shared" si="47"/>
        <v>5401.1060496892896</v>
      </c>
      <c r="T124" s="90">
        <f t="shared" si="47"/>
        <v>5401.1060496892896</v>
      </c>
      <c r="U124" s="90">
        <f t="shared" si="47"/>
        <v>5401.1060496892896</v>
      </c>
    </row>
    <row r="125" spans="1:21" x14ac:dyDescent="0.25">
      <c r="D125" s="18"/>
    </row>
    <row r="126" spans="1:21" x14ac:dyDescent="0.25">
      <c r="A126" s="46" t="s">
        <v>151</v>
      </c>
      <c r="B126" s="143" t="s">
        <v>191</v>
      </c>
      <c r="C126" s="143"/>
      <c r="D126" s="143"/>
      <c r="E126" s="75"/>
      <c r="F126" s="91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21" x14ac:dyDescent="0.25">
      <c r="A127" s="46"/>
      <c r="B127" s="131" t="s">
        <v>11</v>
      </c>
      <c r="C127" s="131" t="s">
        <v>12</v>
      </c>
      <c r="D127" s="131" t="s">
        <v>13</v>
      </c>
      <c r="E127" s="75"/>
      <c r="F127" s="91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21" x14ac:dyDescent="0.25">
      <c r="A128" s="46"/>
      <c r="B128" s="130" t="s">
        <v>42</v>
      </c>
      <c r="C128" s="130" t="s">
        <v>42</v>
      </c>
      <c r="D128" s="130" t="s">
        <v>42</v>
      </c>
      <c r="E128" s="75"/>
      <c r="F128" s="91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x14ac:dyDescent="0.25">
      <c r="A129" s="46" t="s">
        <v>143</v>
      </c>
      <c r="B129" s="92">
        <f>SUMPRODUCT(B80:F80,'disc rate calcs'!$F$4:J$4)</f>
        <v>104074.93688259182</v>
      </c>
      <c r="C129" s="92">
        <f>SUMPRODUCT(B80:K80,'disc rate calcs'!$F$4:O$4)</f>
        <v>169991.77878490926</v>
      </c>
      <c r="D129" s="92">
        <f>SUMPRODUCT(B80:U80,'disc rate calcs'!$F$4:Y$4)</f>
        <v>245385.92570941799</v>
      </c>
      <c r="E129" s="75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</row>
    <row r="130" spans="1:16" x14ac:dyDescent="0.25">
      <c r="A130" s="46" t="s">
        <v>147</v>
      </c>
      <c r="B130" s="92">
        <f>SUMPRODUCT(B98:F98,'disc rate calcs'!$F$4:J$4)</f>
        <v>130093.67110323979</v>
      </c>
      <c r="C130" s="92">
        <f>SUMPRODUCT(B98:K98,'disc rate calcs'!$F$4:O$4)</f>
        <v>212489.72348113658</v>
      </c>
      <c r="D130" s="92">
        <f>SUMPRODUCT(B98:U98,'disc rate calcs'!$F$4:Y$4)</f>
        <v>306732.40713677258</v>
      </c>
      <c r="E130" s="75"/>
      <c r="F130" s="75"/>
      <c r="G130" s="8"/>
      <c r="H130" s="8"/>
      <c r="I130" s="8"/>
      <c r="J130" s="8"/>
      <c r="K130" s="8"/>
      <c r="L130" s="8"/>
      <c r="M130" s="8"/>
      <c r="N130" s="8"/>
      <c r="O130" s="8"/>
      <c r="P130" s="8"/>
    </row>
    <row r="131" spans="1:16" x14ac:dyDescent="0.25">
      <c r="A131" s="46" t="s">
        <v>169</v>
      </c>
      <c r="B131" s="92">
        <f>SUMPRODUCT(B115:F115,'disc rate calcs'!$F$4:J$4)</f>
        <v>145704.91163562855</v>
      </c>
      <c r="C131" s="92">
        <f>SUMPRODUCT(B115:K115,'disc rate calcs'!$F$4:O$4)</f>
        <v>237988.49029887299</v>
      </c>
      <c r="D131" s="92">
        <f>SUMPRODUCT(B115:U115,'disc rate calcs'!$F$4:Y$4)</f>
        <v>343540.29599318525</v>
      </c>
      <c r="E131" s="75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6" x14ac:dyDescent="0.25">
      <c r="D132" s="1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 x14ac:dyDescent="0.25">
      <c r="A133" s="46" t="s">
        <v>152</v>
      </c>
      <c r="B133" s="143" t="s">
        <v>191</v>
      </c>
      <c r="C133" s="143"/>
      <c r="D133" s="143"/>
      <c r="E133" s="75"/>
      <c r="F133" s="91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6" x14ac:dyDescent="0.25">
      <c r="A134" s="46"/>
      <c r="B134" s="131" t="s">
        <v>11</v>
      </c>
      <c r="C134" s="131" t="s">
        <v>12</v>
      </c>
      <c r="D134" s="131" t="s">
        <v>13</v>
      </c>
      <c r="E134" s="75"/>
      <c r="F134" s="91"/>
      <c r="G134" s="8"/>
      <c r="H134" s="8"/>
      <c r="I134" s="8"/>
      <c r="J134" s="8"/>
      <c r="K134" s="8"/>
      <c r="L134" s="8"/>
      <c r="M134" s="8"/>
      <c r="N134" s="8"/>
      <c r="O134" s="8"/>
      <c r="P134" s="8"/>
    </row>
    <row r="135" spans="1:16" x14ac:dyDescent="0.25">
      <c r="A135" s="46"/>
      <c r="B135" s="130" t="s">
        <v>42</v>
      </c>
      <c r="C135" s="130" t="s">
        <v>42</v>
      </c>
      <c r="D135" s="130" t="s">
        <v>42</v>
      </c>
      <c r="E135" s="75"/>
      <c r="F135" s="91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1:16" x14ac:dyDescent="0.25">
      <c r="A136" s="46" t="s">
        <v>143</v>
      </c>
      <c r="B136" s="92">
        <f>SUMPRODUCT(B87:F87,'disc rate calcs'!$F$4:J$4)</f>
        <v>286377.75985095429</v>
      </c>
      <c r="C136" s="92">
        <f>SUMPRODUCT(B87:K87,'disc rate calcs'!$F$4:O$4)</f>
        <v>465604.70646471513</v>
      </c>
      <c r="D136" s="92">
        <f>SUMPRODUCT(B87:U87,'disc rate calcs'!$F$4:Y$4)</f>
        <v>670600.30934650172</v>
      </c>
      <c r="E136" s="75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</row>
    <row r="137" spans="1:16" x14ac:dyDescent="0.25">
      <c r="A137" s="46" t="s">
        <v>147</v>
      </c>
      <c r="B137" s="92">
        <f>SUMPRODUCT(B105:F105,'disc rate calcs'!$F$4:J$4)</f>
        <v>214783.31988821574</v>
      </c>
      <c r="C137" s="92">
        <f>SUMPRODUCT(B105:K105,'disc rate calcs'!$F$4:O$4)</f>
        <v>349203.52984853642</v>
      </c>
      <c r="D137" s="92">
        <f>SUMPRODUCT(B105:U105,'disc rate calcs'!$F$4:Y$4)</f>
        <v>502950.23200987634</v>
      </c>
      <c r="E137" s="75"/>
      <c r="F137" s="75"/>
      <c r="G137" s="8"/>
      <c r="H137" s="8"/>
      <c r="I137" s="8"/>
      <c r="J137" s="8"/>
      <c r="K137" s="8"/>
      <c r="L137" s="8"/>
      <c r="M137" s="8"/>
      <c r="N137" s="8"/>
      <c r="O137" s="8"/>
      <c r="P137" s="8"/>
    </row>
    <row r="138" spans="1:16" x14ac:dyDescent="0.25">
      <c r="A138" s="46" t="s">
        <v>169</v>
      </c>
      <c r="B138" s="92">
        <f>SUMPRODUCT(B122:F122,'disc rate calcs'!$F$4:J$4)</f>
        <v>171826.65591057259</v>
      </c>
      <c r="C138" s="92">
        <f>SUMPRODUCT(B122:K122,'disc rate calcs'!$F$4:O$4)</f>
        <v>279362.82387882913</v>
      </c>
      <c r="D138" s="92">
        <f>SUMPRODUCT(B122:U122,'disc rate calcs'!$F$4:Y$4)</f>
        <v>402360.18560790096</v>
      </c>
      <c r="E138" s="75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</row>
    <row r="139" spans="1:16" x14ac:dyDescent="0.25">
      <c r="D139" s="18"/>
    </row>
    <row r="140" spans="1:16" x14ac:dyDescent="0.25">
      <c r="A140" s="46" t="s">
        <v>153</v>
      </c>
      <c r="B140" s="143" t="s">
        <v>191</v>
      </c>
      <c r="C140" s="143"/>
      <c r="D140" s="143"/>
    </row>
    <row r="141" spans="1:16" x14ac:dyDescent="0.25">
      <c r="A141" s="46"/>
      <c r="B141" s="131" t="s">
        <v>11</v>
      </c>
      <c r="C141" s="131" t="s">
        <v>12</v>
      </c>
      <c r="D141" s="131" t="s">
        <v>13</v>
      </c>
    </row>
    <row r="142" spans="1:16" x14ac:dyDescent="0.25">
      <c r="A142" s="46"/>
      <c r="B142" s="130" t="s">
        <v>42</v>
      </c>
      <c r="C142" s="130" t="s">
        <v>42</v>
      </c>
      <c r="D142" s="130" t="s">
        <v>42</v>
      </c>
    </row>
    <row r="143" spans="1:16" x14ac:dyDescent="0.25">
      <c r="A143" s="46" t="s">
        <v>143</v>
      </c>
      <c r="B143" s="92">
        <f>SUMPRODUCT(B89:F89,'disc rate calcs'!$F$4:J$4)</f>
        <v>182302.82296836248</v>
      </c>
      <c r="C143" s="92">
        <f>SUMPRODUCT(B89:K89,'disc rate calcs'!$F$4:O$4)</f>
        <v>295612.92767980596</v>
      </c>
      <c r="D143" s="92">
        <f>SUMPRODUCT(B89:U89,'disc rate calcs'!$F$4:Y$4)</f>
        <v>425214.38363708375</v>
      </c>
    </row>
    <row r="144" spans="1:16" x14ac:dyDescent="0.25">
      <c r="A144" s="46" t="s">
        <v>147</v>
      </c>
      <c r="B144" s="92">
        <f>SUMPRODUCT(B107:F107,'disc rate calcs'!$F$4:J$4)</f>
        <v>84689.648784975943</v>
      </c>
      <c r="C144" s="92">
        <f>SUMPRODUCT(B107:K107,'disc rate calcs'!$F$4:O$4)</f>
        <v>136713.80636739981</v>
      </c>
      <c r="D144" s="92">
        <f>SUMPRODUCT(B107:U107,'disc rate calcs'!$F$4:Y$4)</f>
        <v>196217.82487310382</v>
      </c>
    </row>
    <row r="145" spans="1:4" x14ac:dyDescent="0.25">
      <c r="A145" s="46" t="s">
        <v>169</v>
      </c>
      <c r="B145" s="92">
        <f>SUMPRODUCT(B124:F124,'disc rate calcs'!$F$4:J$4)</f>
        <v>26121.744274944016</v>
      </c>
      <c r="C145" s="92">
        <f>SUMPRODUCT(B124:K124,'disc rate calcs'!$F$4:O$4)</f>
        <v>41374.333579956146</v>
      </c>
      <c r="D145" s="92">
        <f>SUMPRODUCT(B124:U124,'disc rate calcs'!$F$4:Y$4)</f>
        <v>58819.889614715845</v>
      </c>
    </row>
    <row r="146" spans="1:4" x14ac:dyDescent="0.25">
      <c r="B146" s="6"/>
      <c r="C146" s="6"/>
      <c r="D146" s="6"/>
    </row>
    <row r="148" spans="1:4" x14ac:dyDescent="0.25">
      <c r="B148" s="1"/>
      <c r="C148" s="1"/>
      <c r="D148" s="1"/>
    </row>
  </sheetData>
  <mergeCells count="3">
    <mergeCell ref="B126:D126"/>
    <mergeCell ref="B133:D133"/>
    <mergeCell ref="B140:D140"/>
  </mergeCells>
  <pageMargins left="0.7" right="0.7" top="0.75" bottom="0.75" header="0.3" footer="0.3"/>
  <pageSetup paperSize="8" scale="62" orientation="landscape" verticalDpi="0" r:id="rId1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view="pageBreakPreview" zoomScale="60" zoomScaleNormal="100" workbookViewId="0"/>
  </sheetViews>
  <sheetFormatPr defaultRowHeight="15" x14ac:dyDescent="0.25"/>
  <cols>
    <col min="1" max="1" width="62" customWidth="1"/>
    <col min="2" max="2" width="10.5703125" bestFit="1" customWidth="1"/>
    <col min="3" max="3" width="9.140625" customWidth="1"/>
    <col min="4" max="4" width="10.5703125" customWidth="1"/>
  </cols>
  <sheetData>
    <row r="1" spans="1:4" x14ac:dyDescent="0.25">
      <c r="A1" s="5" t="s">
        <v>136</v>
      </c>
    </row>
    <row r="3" spans="1:4" x14ac:dyDescent="0.25">
      <c r="A3" s="5" t="s">
        <v>91</v>
      </c>
    </row>
    <row r="4" spans="1:4" x14ac:dyDescent="0.25">
      <c r="A4" t="s">
        <v>0</v>
      </c>
      <c r="D4" s="84">
        <f>Costs_general!D4</f>
        <v>0.08</v>
      </c>
    </row>
    <row r="5" spans="1:4" x14ac:dyDescent="0.25">
      <c r="A5" t="s">
        <v>75</v>
      </c>
      <c r="D5" s="85">
        <f>Costs_general!D6</f>
        <v>80</v>
      </c>
    </row>
    <row r="6" spans="1:4" x14ac:dyDescent="0.25">
      <c r="A6" t="s">
        <v>137</v>
      </c>
      <c r="D6" s="2">
        <v>3</v>
      </c>
    </row>
    <row r="7" spans="1:4" x14ac:dyDescent="0.25">
      <c r="A7" t="s">
        <v>138</v>
      </c>
      <c r="D7" s="2">
        <v>3</v>
      </c>
    </row>
    <row r="9" spans="1:4" x14ac:dyDescent="0.25">
      <c r="B9" s="37" t="s">
        <v>42</v>
      </c>
    </row>
    <row r="10" spans="1:4" x14ac:dyDescent="0.25">
      <c r="A10" t="s">
        <v>139</v>
      </c>
      <c r="B10" s="86">
        <f>D6*8*D5</f>
        <v>1920</v>
      </c>
    </row>
    <row r="11" spans="1:4" x14ac:dyDescent="0.25">
      <c r="A11" t="s">
        <v>140</v>
      </c>
      <c r="B11" s="86">
        <f>B10*D7</f>
        <v>5760</v>
      </c>
    </row>
    <row r="13" spans="1:4" x14ac:dyDescent="0.25">
      <c r="B13" s="6" t="s">
        <v>5</v>
      </c>
      <c r="C13" s="6"/>
      <c r="D13" s="6"/>
    </row>
    <row r="14" spans="1:4" x14ac:dyDescent="0.25">
      <c r="B14" t="s">
        <v>11</v>
      </c>
      <c r="C14" t="s">
        <v>12</v>
      </c>
      <c r="D14" t="s">
        <v>13</v>
      </c>
    </row>
    <row r="15" spans="1:4" x14ac:dyDescent="0.25">
      <c r="B15" s="1">
        <f>'disc rate calcs'!$C$8</f>
        <v>4.1493459864656757</v>
      </c>
      <c r="C15" s="1">
        <f>'disc rate calcs'!$C$13</f>
        <v>6.9733211435336564</v>
      </c>
      <c r="D15" s="1">
        <f>'disc rate calcs'!$C$23</f>
        <v>10.203318087541687</v>
      </c>
    </row>
    <row r="16" spans="1:4" x14ac:dyDescent="0.25">
      <c r="B16" s="1"/>
      <c r="C16" s="1"/>
      <c r="D16" s="1"/>
    </row>
    <row r="17" spans="1:4" x14ac:dyDescent="0.25">
      <c r="A17" s="27"/>
      <c r="B17" s="144" t="s">
        <v>191</v>
      </c>
      <c r="C17" s="144"/>
      <c r="D17" s="144"/>
    </row>
    <row r="18" spans="1:4" x14ac:dyDescent="0.25">
      <c r="A18" s="27"/>
      <c r="B18" s="122" t="s">
        <v>11</v>
      </c>
      <c r="C18" s="122" t="s">
        <v>12</v>
      </c>
      <c r="D18" s="122" t="s">
        <v>13</v>
      </c>
    </row>
    <row r="19" spans="1:4" x14ac:dyDescent="0.25">
      <c r="A19" s="27"/>
      <c r="B19" s="132" t="s">
        <v>42</v>
      </c>
      <c r="C19" s="132" t="s">
        <v>42</v>
      </c>
      <c r="D19" s="132" t="s">
        <v>42</v>
      </c>
    </row>
    <row r="20" spans="1:4" x14ac:dyDescent="0.25">
      <c r="A20" s="27" t="s">
        <v>211</v>
      </c>
      <c r="B20" s="133">
        <f>$B11*B15</f>
        <v>23900.232882042292</v>
      </c>
      <c r="C20" s="133">
        <f>$B11*C15</f>
        <v>40166.329786753864</v>
      </c>
      <c r="D20" s="133">
        <f>$B11*D15</f>
        <v>58771.112184240119</v>
      </c>
    </row>
  </sheetData>
  <mergeCells count="1">
    <mergeCell ref="B17:D17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3"/>
  <sheetViews>
    <sheetView view="pageBreakPreview" zoomScale="60" zoomScaleNormal="90" workbookViewId="0"/>
  </sheetViews>
  <sheetFormatPr defaultRowHeight="15" x14ac:dyDescent="0.25"/>
  <cols>
    <col min="1" max="1" width="56.42578125" customWidth="1"/>
    <col min="2" max="2" width="9.5703125" bestFit="1" customWidth="1"/>
    <col min="3" max="4" width="9.5703125" customWidth="1"/>
  </cols>
  <sheetData>
    <row r="1" spans="1:14" x14ac:dyDescent="0.25">
      <c r="A1" s="46" t="s">
        <v>209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B2" s="5" t="s">
        <v>25</v>
      </c>
      <c r="C2" s="5"/>
      <c r="D2" s="5"/>
      <c r="E2" s="5"/>
      <c r="F2" s="5"/>
      <c r="G2" s="5"/>
    </row>
    <row r="3" spans="1:14" x14ac:dyDescent="0.25">
      <c r="A3" s="5" t="s">
        <v>26</v>
      </c>
      <c r="B3" s="5" t="s">
        <v>19</v>
      </c>
      <c r="C3" s="5" t="s">
        <v>20</v>
      </c>
      <c r="D3" s="5" t="s">
        <v>21</v>
      </c>
      <c r="E3" s="5" t="s">
        <v>24</v>
      </c>
      <c r="F3" s="5" t="s">
        <v>23</v>
      </c>
      <c r="G3" s="5" t="s">
        <v>22</v>
      </c>
      <c r="J3" s="5" t="s">
        <v>18</v>
      </c>
    </row>
    <row r="4" spans="1:14" x14ac:dyDescent="0.25">
      <c r="A4" s="5" t="s">
        <v>27</v>
      </c>
      <c r="B4" s="8">
        <f>'Benefits_freq chng_ex DUML'!B4</f>
        <v>0</v>
      </c>
      <c r="C4" s="8">
        <f>'Benefits_freq chng_ex DUML'!C4</f>
        <v>0</v>
      </c>
      <c r="D4" s="8">
        <f>'Benefits_freq chng_ex DUML'!D4</f>
        <v>0</v>
      </c>
      <c r="E4" s="8">
        <f>'Benefits_freq chng_ex DUML'!E4</f>
        <v>0</v>
      </c>
      <c r="F4" s="8">
        <f>'Benefits_freq chng_ex DUML'!F4</f>
        <v>65</v>
      </c>
      <c r="G4" s="8">
        <f>'Benefits_freq chng_ex DUML'!G4</f>
        <v>0</v>
      </c>
      <c r="J4">
        <f>SUM(B4:G4)</f>
        <v>65</v>
      </c>
    </row>
    <row r="5" spans="1:14" x14ac:dyDescent="0.25">
      <c r="A5" s="5" t="s">
        <v>28</v>
      </c>
      <c r="B5" s="8">
        <f>'Benefits_freq chng_ex DUML'!B5</f>
        <v>61</v>
      </c>
      <c r="C5" s="8">
        <f>'Benefits_freq chng_ex DUML'!C5</f>
        <v>49</v>
      </c>
      <c r="D5" s="8">
        <f>'Benefits_freq chng_ex DUML'!D5</f>
        <v>9</v>
      </c>
      <c r="E5" s="8">
        <f>'Benefits_freq chng_ex DUML'!E5</f>
        <v>10</v>
      </c>
      <c r="F5" s="8">
        <f>'Benefits_freq chng_ex DUML'!F5</f>
        <v>0</v>
      </c>
      <c r="G5" s="8">
        <f>'Benefits_freq chng_ex DUML'!G5</f>
        <v>0</v>
      </c>
      <c r="J5">
        <f t="shared" ref="J5:J8" si="0">SUM(B5:G5)</f>
        <v>129</v>
      </c>
    </row>
    <row r="6" spans="1:14" x14ac:dyDescent="0.25">
      <c r="A6" s="5" t="s">
        <v>29</v>
      </c>
      <c r="B6" s="8">
        <f>'Benefits_freq chng_ex DUML'!B6</f>
        <v>6</v>
      </c>
      <c r="C6" s="8">
        <f>'Benefits_freq chng_ex DUML'!C6</f>
        <v>29</v>
      </c>
      <c r="D6" s="8">
        <f>'Benefits_freq chng_ex DUML'!D6</f>
        <v>10</v>
      </c>
      <c r="E6" s="8">
        <f>'Benefits_freq chng_ex DUML'!E6</f>
        <v>7</v>
      </c>
      <c r="F6" s="8">
        <f>'Benefits_freq chng_ex DUML'!F6</f>
        <v>0</v>
      </c>
      <c r="G6" s="8">
        <f>'Benefits_freq chng_ex DUML'!G6</f>
        <v>1</v>
      </c>
      <c r="J6">
        <f t="shared" si="0"/>
        <v>53</v>
      </c>
    </row>
    <row r="7" spans="1:14" x14ac:dyDescent="0.25">
      <c r="A7" s="5" t="s">
        <v>30</v>
      </c>
      <c r="B7" s="8">
        <f>'Benefits_freq chng_ex DUML'!B7</f>
        <v>18</v>
      </c>
      <c r="C7" s="8">
        <f>'Benefits_freq chng_ex DUML'!C7</f>
        <v>0</v>
      </c>
      <c r="D7" s="8">
        <f>'Benefits_freq chng_ex DUML'!D7</f>
        <v>10</v>
      </c>
      <c r="E7" s="8">
        <f>'Benefits_freq chng_ex DUML'!E7</f>
        <v>0</v>
      </c>
      <c r="F7" s="8">
        <f>'Benefits_freq chng_ex DUML'!F7</f>
        <v>0</v>
      </c>
      <c r="G7" s="8">
        <f>'Benefits_freq chng_ex DUML'!G7</f>
        <v>0</v>
      </c>
      <c r="J7">
        <f t="shared" si="0"/>
        <v>28</v>
      </c>
    </row>
    <row r="8" spans="1:14" x14ac:dyDescent="0.25">
      <c r="A8" s="5" t="s">
        <v>18</v>
      </c>
      <c r="B8" s="5">
        <f>SUM(B4:B7)</f>
        <v>85</v>
      </c>
      <c r="C8" s="5">
        <f t="shared" ref="C8:G8" si="1">SUM(C4:C7)</f>
        <v>78</v>
      </c>
      <c r="D8" s="5">
        <f t="shared" si="1"/>
        <v>29</v>
      </c>
      <c r="E8" s="5">
        <f t="shared" si="1"/>
        <v>17</v>
      </c>
      <c r="F8" s="5">
        <f t="shared" si="1"/>
        <v>65</v>
      </c>
      <c r="G8" s="5">
        <f t="shared" si="1"/>
        <v>1</v>
      </c>
      <c r="J8" s="5">
        <f t="shared" si="0"/>
        <v>275</v>
      </c>
    </row>
    <row r="10" spans="1:14" x14ac:dyDescent="0.25">
      <c r="H10" t="s">
        <v>31</v>
      </c>
      <c r="J10" s="5">
        <f>J8-F8</f>
        <v>210</v>
      </c>
    </row>
    <row r="11" spans="1:14" x14ac:dyDescent="0.25">
      <c r="H11" t="s">
        <v>32</v>
      </c>
    </row>
    <row r="12" spans="1:14" x14ac:dyDescent="0.25">
      <c r="I12" t="s">
        <v>28</v>
      </c>
      <c r="J12" s="24">
        <f>(J5-F5)/J$10</f>
        <v>0.61428571428571432</v>
      </c>
    </row>
    <row r="13" spans="1:14" x14ac:dyDescent="0.25">
      <c r="I13" t="s">
        <v>29</v>
      </c>
      <c r="J13" s="24">
        <f t="shared" ref="J13:J14" si="2">(J6-F6)/J$10</f>
        <v>0.25238095238095237</v>
      </c>
    </row>
    <row r="14" spans="1:14" x14ac:dyDescent="0.25">
      <c r="I14" t="s">
        <v>30</v>
      </c>
      <c r="J14" s="24">
        <f t="shared" si="2"/>
        <v>0.13333333333333333</v>
      </c>
    </row>
    <row r="15" spans="1:14" x14ac:dyDescent="0.25">
      <c r="J15" s="24"/>
    </row>
    <row r="16" spans="1:14" x14ac:dyDescent="0.25">
      <c r="A16" s="78" t="s">
        <v>128</v>
      </c>
    </row>
    <row r="17" spans="1:14" x14ac:dyDescent="0.25">
      <c r="A17" s="5" t="s">
        <v>212</v>
      </c>
    </row>
    <row r="18" spans="1:14" x14ac:dyDescent="0.25">
      <c r="A18" s="30" t="s">
        <v>47</v>
      </c>
    </row>
    <row r="19" spans="1:14" x14ac:dyDescent="0.25">
      <c r="C19" s="5"/>
      <c r="D19" s="5"/>
      <c r="E19" s="5"/>
      <c r="F19" s="5"/>
      <c r="G19" s="5"/>
    </row>
    <row r="20" spans="1:14" s="8" customFormat="1" x14ac:dyDescent="0.25">
      <c r="A20" s="19" t="s">
        <v>96</v>
      </c>
      <c r="B20" s="19" t="s">
        <v>109</v>
      </c>
      <c r="C20" s="19"/>
      <c r="D20" s="19"/>
      <c r="E20" s="19"/>
      <c r="F20" s="19"/>
      <c r="G20" s="19"/>
      <c r="H20" s="19" t="s">
        <v>110</v>
      </c>
      <c r="N20" s="19" t="s">
        <v>111</v>
      </c>
    </row>
    <row r="21" spans="1:14" s="8" customFormat="1" x14ac:dyDescent="0.25">
      <c r="A21" s="19" t="s">
        <v>97</v>
      </c>
      <c r="B21" s="19" t="s">
        <v>101</v>
      </c>
      <c r="C21" s="19" t="s">
        <v>102</v>
      </c>
      <c r="D21" s="19" t="s">
        <v>103</v>
      </c>
      <c r="E21" s="19" t="s">
        <v>104</v>
      </c>
      <c r="G21" s="19"/>
      <c r="H21" s="19" t="s">
        <v>101</v>
      </c>
      <c r="I21" s="19" t="s">
        <v>102</v>
      </c>
      <c r="J21" s="19" t="s">
        <v>103</v>
      </c>
      <c r="K21" s="19" t="s">
        <v>104</v>
      </c>
      <c r="L21" s="72" t="s">
        <v>105</v>
      </c>
    </row>
    <row r="22" spans="1:14" s="8" customFormat="1" x14ac:dyDescent="0.25">
      <c r="A22" s="8" t="s">
        <v>98</v>
      </c>
      <c r="B22" s="2">
        <v>0</v>
      </c>
      <c r="C22" s="2">
        <v>0</v>
      </c>
      <c r="D22" s="2">
        <v>21</v>
      </c>
      <c r="E22" s="2">
        <v>40</v>
      </c>
      <c r="G22" s="19"/>
      <c r="H22" s="73">
        <f>B22/$B$5</f>
        <v>0</v>
      </c>
      <c r="I22" s="73">
        <f t="shared" ref="I22:K22" si="3">C22/$B$5</f>
        <v>0</v>
      </c>
      <c r="J22" s="73">
        <f t="shared" si="3"/>
        <v>0.34426229508196721</v>
      </c>
      <c r="K22" s="73">
        <f t="shared" si="3"/>
        <v>0.65573770491803274</v>
      </c>
      <c r="L22" s="74">
        <f>SUM(H22:K22)</f>
        <v>1</v>
      </c>
      <c r="N22" s="75">
        <f>H22*6+I22*12+J22*18+K22*24</f>
        <v>21.934426229508198</v>
      </c>
    </row>
    <row r="23" spans="1:14" s="8" customFormat="1" x14ac:dyDescent="0.25">
      <c r="A23" s="8" t="s">
        <v>99</v>
      </c>
      <c r="B23" s="2">
        <v>0</v>
      </c>
      <c r="C23" s="2">
        <v>3</v>
      </c>
      <c r="D23" s="2">
        <v>3</v>
      </c>
      <c r="E23" s="2">
        <v>0</v>
      </c>
      <c r="G23" s="19"/>
      <c r="H23" s="73">
        <f>B23/$B$6</f>
        <v>0</v>
      </c>
      <c r="I23" s="73">
        <f t="shared" ref="I23:K23" si="4">C23/$B$6</f>
        <v>0.5</v>
      </c>
      <c r="J23" s="73">
        <f t="shared" si="4"/>
        <v>0.5</v>
      </c>
      <c r="K23" s="73">
        <f t="shared" si="4"/>
        <v>0</v>
      </c>
      <c r="L23" s="74">
        <f t="shared" ref="L23:L24" si="5">SUM(H23:K23)</f>
        <v>1</v>
      </c>
      <c r="N23" s="75">
        <f t="shared" ref="N23:N24" si="6">H23*6+I23*12+J23*18+K23*24</f>
        <v>15</v>
      </c>
    </row>
    <row r="24" spans="1:14" s="8" customFormat="1" x14ac:dyDescent="0.25">
      <c r="A24" s="8" t="s">
        <v>100</v>
      </c>
      <c r="B24" s="2">
        <v>4</v>
      </c>
      <c r="C24" s="2">
        <v>10</v>
      </c>
      <c r="D24" s="2">
        <v>4</v>
      </c>
      <c r="E24" s="2">
        <v>0</v>
      </c>
      <c r="G24" s="19"/>
      <c r="H24" s="73">
        <f>B24/$B$7</f>
        <v>0.22222222222222221</v>
      </c>
      <c r="I24" s="73">
        <f t="shared" ref="I24:K24" si="7">C24/$B$7</f>
        <v>0.55555555555555558</v>
      </c>
      <c r="J24" s="73">
        <f t="shared" si="7"/>
        <v>0.22222222222222221</v>
      </c>
      <c r="K24" s="73">
        <f t="shared" si="7"/>
        <v>0</v>
      </c>
      <c r="L24" s="74">
        <f t="shared" si="5"/>
        <v>1</v>
      </c>
      <c r="N24" s="75">
        <f t="shared" si="6"/>
        <v>12</v>
      </c>
    </row>
    <row r="25" spans="1:14" s="8" customFormat="1" x14ac:dyDescent="0.25">
      <c r="G25" s="19"/>
      <c r="H25" s="73"/>
      <c r="I25" s="73"/>
      <c r="J25" s="73"/>
      <c r="K25" s="73"/>
      <c r="L25" s="74"/>
      <c r="N25" s="77">
        <f>(SUM(B22:B24)*6+SUM(C22:C24)*12+SUM(D22:D24)*18+SUM(E22:E24)*24)/SUM(B22:E24)</f>
        <v>19.341176470588234</v>
      </c>
    </row>
    <row r="26" spans="1:14" s="8" customFormat="1" x14ac:dyDescent="0.25">
      <c r="G26" s="19"/>
      <c r="H26" s="19"/>
      <c r="I26" s="19"/>
      <c r="J26" s="19"/>
      <c r="K26" s="19"/>
      <c r="L26" s="19"/>
    </row>
    <row r="27" spans="1:14" s="8" customFormat="1" x14ac:dyDescent="0.25">
      <c r="A27" s="19" t="s">
        <v>106</v>
      </c>
      <c r="B27" s="19" t="s">
        <v>101</v>
      </c>
      <c r="C27" s="19" t="s">
        <v>102</v>
      </c>
      <c r="D27" s="19" t="s">
        <v>103</v>
      </c>
      <c r="E27" s="19" t="s">
        <v>104</v>
      </c>
      <c r="G27" s="19"/>
      <c r="H27" s="19" t="s">
        <v>101</v>
      </c>
      <c r="I27" s="19" t="s">
        <v>102</v>
      </c>
      <c r="J27" s="19" t="s">
        <v>103</v>
      </c>
      <c r="K27" s="19" t="s">
        <v>104</v>
      </c>
      <c r="L27" s="72" t="s">
        <v>105</v>
      </c>
    </row>
    <row r="28" spans="1:14" s="8" customFormat="1" x14ac:dyDescent="0.25">
      <c r="A28" s="8" t="s">
        <v>98</v>
      </c>
      <c r="B28" s="2">
        <v>0</v>
      </c>
      <c r="C28" s="2">
        <v>0</v>
      </c>
      <c r="D28" s="2">
        <v>16</v>
      </c>
      <c r="E28" s="2">
        <v>33</v>
      </c>
      <c r="G28" s="19"/>
      <c r="H28" s="73">
        <f>B28/$C$5</f>
        <v>0</v>
      </c>
      <c r="I28" s="73">
        <f t="shared" ref="I28:K28" si="8">C28/$C$5</f>
        <v>0</v>
      </c>
      <c r="J28" s="73">
        <f t="shared" si="8"/>
        <v>0.32653061224489793</v>
      </c>
      <c r="K28" s="73">
        <f t="shared" si="8"/>
        <v>0.67346938775510201</v>
      </c>
      <c r="L28" s="74">
        <f>SUM(H28:K28)</f>
        <v>1</v>
      </c>
      <c r="N28" s="75">
        <f t="shared" ref="N28:N29" si="9">H28*6+I28*12+J28*18+K28*24</f>
        <v>22.04081632653061</v>
      </c>
    </row>
    <row r="29" spans="1:14" s="8" customFormat="1" x14ac:dyDescent="0.25">
      <c r="A29" s="8" t="s">
        <v>99</v>
      </c>
      <c r="B29" s="2">
        <v>0</v>
      </c>
      <c r="C29" s="2">
        <v>15</v>
      </c>
      <c r="D29" s="2">
        <v>14</v>
      </c>
      <c r="E29" s="2">
        <v>0</v>
      </c>
      <c r="G29" s="19"/>
      <c r="H29" s="73">
        <f>B29/$C$6</f>
        <v>0</v>
      </c>
      <c r="I29" s="73">
        <f t="shared" ref="I29:K29" si="10">C29/$C$6</f>
        <v>0.51724137931034486</v>
      </c>
      <c r="J29" s="73">
        <f t="shared" si="10"/>
        <v>0.48275862068965519</v>
      </c>
      <c r="K29" s="73">
        <f t="shared" si="10"/>
        <v>0</v>
      </c>
      <c r="L29" s="74">
        <f>SUM(H29:K29)</f>
        <v>1</v>
      </c>
      <c r="N29" s="75">
        <f t="shared" si="9"/>
        <v>14.896551724137932</v>
      </c>
    </row>
    <row r="30" spans="1:14" s="8" customFormat="1" x14ac:dyDescent="0.25">
      <c r="G30" s="19"/>
      <c r="H30" s="73"/>
      <c r="I30" s="73"/>
      <c r="J30" s="73"/>
      <c r="K30" s="73"/>
      <c r="L30" s="74"/>
      <c r="N30" s="77">
        <f>(SUM(B28:B29)*6+SUM(C28:C29)*12+SUM(D28:D29)*18+SUM(E28:E29)*24)/SUM(B28:E29)</f>
        <v>19.384615384615383</v>
      </c>
    </row>
    <row r="31" spans="1:14" s="8" customFormat="1" x14ac:dyDescent="0.25">
      <c r="B31" s="19"/>
      <c r="C31" s="19"/>
      <c r="D31" s="19"/>
      <c r="E31" s="19"/>
      <c r="F31" s="74"/>
      <c r="G31" s="19"/>
    </row>
    <row r="32" spans="1:14" s="8" customFormat="1" x14ac:dyDescent="0.25">
      <c r="A32" s="19" t="s">
        <v>107</v>
      </c>
      <c r="B32" s="19"/>
      <c r="C32" s="19"/>
      <c r="D32" s="19"/>
      <c r="E32" s="19"/>
      <c r="F32" s="19"/>
      <c r="G32" s="19"/>
    </row>
    <row r="33" spans="1:21" s="8" customFormat="1" x14ac:dyDescent="0.25">
      <c r="A33" s="19" t="s">
        <v>97</v>
      </c>
      <c r="B33" s="19" t="s">
        <v>101</v>
      </c>
      <c r="C33" s="19" t="s">
        <v>102</v>
      </c>
      <c r="D33" s="19" t="s">
        <v>103</v>
      </c>
      <c r="E33" s="19" t="s">
        <v>104</v>
      </c>
      <c r="F33" s="19"/>
      <c r="G33" s="19"/>
      <c r="H33" s="19" t="s">
        <v>101</v>
      </c>
      <c r="I33" s="19" t="s">
        <v>102</v>
      </c>
      <c r="J33" s="19" t="s">
        <v>103</v>
      </c>
      <c r="K33" s="19" t="s">
        <v>104</v>
      </c>
      <c r="L33" s="72" t="s">
        <v>105</v>
      </c>
    </row>
    <row r="34" spans="1:21" s="8" customFormat="1" x14ac:dyDescent="0.25">
      <c r="A34" s="8" t="s">
        <v>98</v>
      </c>
      <c r="B34" s="2">
        <v>0</v>
      </c>
      <c r="C34" s="2">
        <v>0</v>
      </c>
      <c r="D34" s="2">
        <v>0</v>
      </c>
      <c r="E34" s="2">
        <v>61</v>
      </c>
      <c r="F34" s="19"/>
      <c r="G34" s="19"/>
      <c r="H34" s="73">
        <f>B34/$B$5</f>
        <v>0</v>
      </c>
      <c r="I34" s="73">
        <f t="shared" ref="I34:K34" si="11">C34/$B$5</f>
        <v>0</v>
      </c>
      <c r="J34" s="73">
        <f t="shared" si="11"/>
        <v>0</v>
      </c>
      <c r="K34" s="73">
        <f t="shared" si="11"/>
        <v>1</v>
      </c>
      <c r="L34" s="74">
        <f>SUM(H34:K34)</f>
        <v>1</v>
      </c>
      <c r="N34" s="75">
        <f t="shared" ref="N34:N36" si="12">H34*6+I34*12+J34*18+K34*24</f>
        <v>24</v>
      </c>
    </row>
    <row r="35" spans="1:21" s="8" customFormat="1" x14ac:dyDescent="0.25">
      <c r="A35" s="8" t="s">
        <v>99</v>
      </c>
      <c r="B35" s="2">
        <v>0</v>
      </c>
      <c r="C35" s="2">
        <v>0</v>
      </c>
      <c r="D35" s="2">
        <v>3</v>
      </c>
      <c r="E35" s="2">
        <v>3</v>
      </c>
      <c r="F35" s="19"/>
      <c r="G35" s="19"/>
      <c r="H35" s="73">
        <f>B35/$B$6</f>
        <v>0</v>
      </c>
      <c r="I35" s="73">
        <f t="shared" ref="I35:K35" si="13">C35/$B$6</f>
        <v>0</v>
      </c>
      <c r="J35" s="73">
        <f t="shared" si="13"/>
        <v>0.5</v>
      </c>
      <c r="K35" s="73">
        <f t="shared" si="13"/>
        <v>0.5</v>
      </c>
      <c r="L35" s="74">
        <f t="shared" ref="L35:L36" si="14">SUM(H35:K35)</f>
        <v>1</v>
      </c>
      <c r="N35" s="75">
        <f t="shared" si="12"/>
        <v>21</v>
      </c>
    </row>
    <row r="36" spans="1:21" s="8" customFormat="1" x14ac:dyDescent="0.25">
      <c r="A36" s="8" t="s">
        <v>100</v>
      </c>
      <c r="B36" s="2">
        <v>0</v>
      </c>
      <c r="C36" s="2">
        <v>4</v>
      </c>
      <c r="D36" s="2">
        <v>7</v>
      </c>
      <c r="E36" s="2">
        <v>7</v>
      </c>
      <c r="F36" s="19"/>
      <c r="G36" s="19"/>
      <c r="H36" s="73">
        <f>B36/$B$7</f>
        <v>0</v>
      </c>
      <c r="I36" s="73">
        <f t="shared" ref="I36:K36" si="15">C36/$B$7</f>
        <v>0.22222222222222221</v>
      </c>
      <c r="J36" s="73">
        <f t="shared" si="15"/>
        <v>0.3888888888888889</v>
      </c>
      <c r="K36" s="73">
        <f t="shared" si="15"/>
        <v>0.3888888888888889</v>
      </c>
      <c r="L36" s="74">
        <f t="shared" si="14"/>
        <v>1</v>
      </c>
      <c r="N36" s="75">
        <f t="shared" si="12"/>
        <v>19</v>
      </c>
    </row>
    <row r="37" spans="1:21" s="8" customFormat="1" x14ac:dyDescent="0.25">
      <c r="F37" s="19"/>
      <c r="G37" s="19"/>
      <c r="H37" s="73"/>
      <c r="I37" s="73"/>
      <c r="J37" s="73"/>
      <c r="K37" s="73"/>
      <c r="L37" s="74"/>
      <c r="N37" s="77">
        <f>(SUM(B34:B36)*6+SUM(C34:C36)*12+SUM(D34:D36)*18+SUM(E34:E36)*24)/SUM(B34:E36)</f>
        <v>22.729411764705883</v>
      </c>
    </row>
    <row r="38" spans="1:21" s="8" customFormat="1" x14ac:dyDescent="0.25">
      <c r="F38" s="19"/>
      <c r="G38" s="19"/>
      <c r="H38" s="19"/>
      <c r="I38" s="19"/>
      <c r="J38" s="19"/>
      <c r="K38" s="19"/>
      <c r="L38" s="19"/>
    </row>
    <row r="39" spans="1:21" s="8" customFormat="1" x14ac:dyDescent="0.25">
      <c r="A39" s="19" t="s">
        <v>106</v>
      </c>
      <c r="B39" s="19" t="s">
        <v>101</v>
      </c>
      <c r="C39" s="19" t="s">
        <v>102</v>
      </c>
      <c r="D39" s="19" t="s">
        <v>103</v>
      </c>
      <c r="E39" s="19" t="s">
        <v>104</v>
      </c>
      <c r="F39" s="19"/>
      <c r="G39" s="19"/>
      <c r="H39" s="19" t="s">
        <v>101</v>
      </c>
      <c r="I39" s="19" t="s">
        <v>102</v>
      </c>
      <c r="J39" s="19" t="s">
        <v>103</v>
      </c>
      <c r="K39" s="19" t="s">
        <v>104</v>
      </c>
      <c r="L39" s="72" t="s">
        <v>105</v>
      </c>
    </row>
    <row r="40" spans="1:21" s="8" customFormat="1" x14ac:dyDescent="0.25">
      <c r="A40" s="8" t="s">
        <v>98</v>
      </c>
      <c r="B40" s="2">
        <v>0</v>
      </c>
      <c r="C40" s="2">
        <v>0</v>
      </c>
      <c r="D40" s="2">
        <v>0</v>
      </c>
      <c r="E40" s="2">
        <v>49</v>
      </c>
      <c r="F40" s="19"/>
      <c r="G40" s="19"/>
      <c r="H40" s="73">
        <f>B40/$C$5</f>
        <v>0</v>
      </c>
      <c r="I40" s="73">
        <f t="shared" ref="I40:K40" si="16">C40/$C$5</f>
        <v>0</v>
      </c>
      <c r="J40" s="73">
        <f t="shared" si="16"/>
        <v>0</v>
      </c>
      <c r="K40" s="73">
        <f t="shared" si="16"/>
        <v>1</v>
      </c>
      <c r="L40" s="74">
        <f>SUM(H40:K40)</f>
        <v>1</v>
      </c>
      <c r="N40" s="75">
        <f t="shared" ref="N40:N41" si="17">H40*6+I40*12+J40*18+K40*24</f>
        <v>24</v>
      </c>
    </row>
    <row r="41" spans="1:21" s="8" customFormat="1" x14ac:dyDescent="0.25">
      <c r="A41" s="8" t="s">
        <v>99</v>
      </c>
      <c r="B41" s="2">
        <v>0</v>
      </c>
      <c r="C41" s="2">
        <v>0</v>
      </c>
      <c r="D41" s="2">
        <v>15</v>
      </c>
      <c r="E41" s="2">
        <v>14</v>
      </c>
      <c r="F41" s="19"/>
      <c r="G41" s="19"/>
      <c r="H41" s="73">
        <f>B41/$C$6</f>
        <v>0</v>
      </c>
      <c r="I41" s="73">
        <f t="shared" ref="I41:K41" si="18">C41/$C$6</f>
        <v>0</v>
      </c>
      <c r="J41" s="73">
        <f t="shared" si="18"/>
        <v>0.51724137931034486</v>
      </c>
      <c r="K41" s="73">
        <f t="shared" si="18"/>
        <v>0.48275862068965519</v>
      </c>
      <c r="L41" s="74">
        <f>SUM(H41:K41)</f>
        <v>1</v>
      </c>
      <c r="N41" s="75">
        <f t="shared" si="17"/>
        <v>20.896551724137932</v>
      </c>
    </row>
    <row r="42" spans="1:21" s="8" customFormat="1" x14ac:dyDescent="0.25">
      <c r="F42" s="19"/>
      <c r="G42" s="19"/>
      <c r="H42" s="73"/>
      <c r="I42" s="73"/>
      <c r="J42" s="73"/>
      <c r="K42" s="73"/>
      <c r="L42" s="74"/>
      <c r="N42" s="77">
        <f>(SUM(B40:B41)*6+SUM(C40:C41)*12+SUM(D40:D41)*18+SUM(E40:E41)*24)/SUM(B40:E41)</f>
        <v>22.846153846153847</v>
      </c>
    </row>
    <row r="43" spans="1:21" s="8" customFormat="1" x14ac:dyDescent="0.25">
      <c r="F43" s="19"/>
      <c r="G43" s="19"/>
      <c r="H43" s="73"/>
      <c r="I43" s="73"/>
      <c r="J43" s="73"/>
      <c r="K43" s="73"/>
      <c r="L43" s="74"/>
    </row>
    <row r="44" spans="1:21" s="8" customFormat="1" x14ac:dyDescent="0.25">
      <c r="A44" s="19" t="s">
        <v>108</v>
      </c>
      <c r="B44" s="2">
        <v>10</v>
      </c>
      <c r="F44" s="19"/>
      <c r="G44" s="19"/>
      <c r="H44" s="73"/>
      <c r="I44" s="73"/>
      <c r="J44" s="73"/>
      <c r="K44" s="73"/>
      <c r="L44" s="74"/>
    </row>
    <row r="45" spans="1:21" s="8" customFormat="1" x14ac:dyDescent="0.25">
      <c r="A45" s="19"/>
      <c r="F45" s="19"/>
      <c r="G45" s="19"/>
      <c r="H45" s="73"/>
      <c r="I45" s="73"/>
      <c r="J45" s="73"/>
      <c r="K45" s="73"/>
      <c r="L45" s="74"/>
    </row>
    <row r="46" spans="1:21" s="8" customFormat="1" x14ac:dyDescent="0.25">
      <c r="A46" s="19"/>
      <c r="B46" s="8" t="s">
        <v>1</v>
      </c>
      <c r="F46" s="19"/>
      <c r="G46" s="19"/>
      <c r="H46" s="73"/>
      <c r="I46" s="73"/>
      <c r="J46" s="73"/>
      <c r="K46" s="73"/>
      <c r="L46" s="74"/>
    </row>
    <row r="47" spans="1:21" s="8" customFormat="1" x14ac:dyDescent="0.25">
      <c r="A47" s="19" t="s">
        <v>125</v>
      </c>
      <c r="B47" s="8">
        <v>1</v>
      </c>
      <c r="C47" s="8">
        <v>2</v>
      </c>
      <c r="D47" s="8">
        <v>3</v>
      </c>
      <c r="E47" s="8">
        <v>4</v>
      </c>
      <c r="F47" s="8">
        <v>5</v>
      </c>
      <c r="G47" s="8">
        <v>6</v>
      </c>
      <c r="H47" s="8">
        <v>7</v>
      </c>
      <c r="I47" s="8">
        <v>8</v>
      </c>
      <c r="J47" s="8">
        <v>9</v>
      </c>
      <c r="K47" s="8">
        <v>10</v>
      </c>
      <c r="L47" s="8">
        <v>11</v>
      </c>
      <c r="M47" s="8">
        <v>12</v>
      </c>
      <c r="N47" s="8">
        <v>13</v>
      </c>
      <c r="O47" s="8">
        <v>14</v>
      </c>
      <c r="P47" s="8">
        <v>15</v>
      </c>
      <c r="Q47" s="8">
        <v>16</v>
      </c>
      <c r="R47" s="8">
        <v>17</v>
      </c>
      <c r="S47" s="8">
        <v>18</v>
      </c>
      <c r="T47" s="8">
        <v>19</v>
      </c>
      <c r="U47" s="8">
        <v>20</v>
      </c>
    </row>
    <row r="48" spans="1:21" s="8" customFormat="1" x14ac:dyDescent="0.25">
      <c r="A48" s="19" t="s">
        <v>97</v>
      </c>
      <c r="F48" s="19"/>
      <c r="G48" s="19"/>
      <c r="H48" s="73"/>
      <c r="I48" s="73"/>
      <c r="J48" s="73"/>
      <c r="K48" s="73"/>
      <c r="L48" s="74"/>
    </row>
    <row r="49" spans="1:21" s="8" customFormat="1" x14ac:dyDescent="0.25">
      <c r="A49" s="8" t="s">
        <v>98</v>
      </c>
      <c r="B49" s="75">
        <f t="shared" ref="B49:U49" si="19">IF(B$47=1,$N22,IF(B$47&lt;=$B$44,$N22+(B$47-1)/($B$44-1)*($N34-$N22),IF(B$47&gt;$B$44,$N34,"ERROR")))</f>
        <v>21.934426229508198</v>
      </c>
      <c r="C49" s="75">
        <f t="shared" si="19"/>
        <v>22.16393442622951</v>
      </c>
      <c r="D49" s="75">
        <f t="shared" si="19"/>
        <v>22.393442622950822</v>
      </c>
      <c r="E49" s="75">
        <f t="shared" si="19"/>
        <v>22.622950819672131</v>
      </c>
      <c r="F49" s="75">
        <f t="shared" si="19"/>
        <v>22.852459016393443</v>
      </c>
      <c r="G49" s="75">
        <f t="shared" si="19"/>
        <v>23.081967213114755</v>
      </c>
      <c r="H49" s="75">
        <f t="shared" si="19"/>
        <v>23.311475409836067</v>
      </c>
      <c r="I49" s="75">
        <f t="shared" si="19"/>
        <v>23.540983606557376</v>
      </c>
      <c r="J49" s="75">
        <f t="shared" si="19"/>
        <v>23.770491803278688</v>
      </c>
      <c r="K49" s="75">
        <f t="shared" si="19"/>
        <v>24</v>
      </c>
      <c r="L49" s="75">
        <f t="shared" si="19"/>
        <v>24</v>
      </c>
      <c r="M49" s="75">
        <f t="shared" si="19"/>
        <v>24</v>
      </c>
      <c r="N49" s="75">
        <f t="shared" si="19"/>
        <v>24</v>
      </c>
      <c r="O49" s="75">
        <f t="shared" si="19"/>
        <v>24</v>
      </c>
      <c r="P49" s="75">
        <f t="shared" si="19"/>
        <v>24</v>
      </c>
      <c r="Q49" s="75">
        <f t="shared" si="19"/>
        <v>24</v>
      </c>
      <c r="R49" s="75">
        <f t="shared" si="19"/>
        <v>24</v>
      </c>
      <c r="S49" s="75">
        <f t="shared" si="19"/>
        <v>24</v>
      </c>
      <c r="T49" s="75">
        <f t="shared" si="19"/>
        <v>24</v>
      </c>
      <c r="U49" s="75">
        <f t="shared" si="19"/>
        <v>24</v>
      </c>
    </row>
    <row r="50" spans="1:21" s="8" customFormat="1" x14ac:dyDescent="0.25">
      <c r="A50" s="8" t="s">
        <v>99</v>
      </c>
      <c r="B50" s="75">
        <f t="shared" ref="B50:U50" si="20">IF(B$47=1,$N23,IF(B$47&lt;=$B$44,$N23+(B$47-1)/($B$44-1)*($N35-$N23),IF(B$47&gt;$B$44,$N35,"ERROR")))</f>
        <v>15</v>
      </c>
      <c r="C50" s="75">
        <f t="shared" si="20"/>
        <v>15.666666666666666</v>
      </c>
      <c r="D50" s="75">
        <f t="shared" si="20"/>
        <v>16.333333333333332</v>
      </c>
      <c r="E50" s="75">
        <f t="shared" si="20"/>
        <v>17</v>
      </c>
      <c r="F50" s="75">
        <f t="shared" si="20"/>
        <v>17.666666666666668</v>
      </c>
      <c r="G50" s="75">
        <f t="shared" si="20"/>
        <v>18.333333333333332</v>
      </c>
      <c r="H50" s="75">
        <f t="shared" si="20"/>
        <v>19</v>
      </c>
      <c r="I50" s="75">
        <f t="shared" si="20"/>
        <v>19.666666666666668</v>
      </c>
      <c r="J50" s="75">
        <f t="shared" si="20"/>
        <v>20.333333333333332</v>
      </c>
      <c r="K50" s="75">
        <f t="shared" si="20"/>
        <v>21</v>
      </c>
      <c r="L50" s="75">
        <f t="shared" si="20"/>
        <v>21</v>
      </c>
      <c r="M50" s="75">
        <f t="shared" si="20"/>
        <v>21</v>
      </c>
      <c r="N50" s="75">
        <f t="shared" si="20"/>
        <v>21</v>
      </c>
      <c r="O50" s="75">
        <f t="shared" si="20"/>
        <v>21</v>
      </c>
      <c r="P50" s="75">
        <f t="shared" si="20"/>
        <v>21</v>
      </c>
      <c r="Q50" s="75">
        <f t="shared" si="20"/>
        <v>21</v>
      </c>
      <c r="R50" s="75">
        <f t="shared" si="20"/>
        <v>21</v>
      </c>
      <c r="S50" s="75">
        <f t="shared" si="20"/>
        <v>21</v>
      </c>
      <c r="T50" s="75">
        <f t="shared" si="20"/>
        <v>21</v>
      </c>
      <c r="U50" s="75">
        <f t="shared" si="20"/>
        <v>21</v>
      </c>
    </row>
    <row r="51" spans="1:21" s="8" customFormat="1" x14ac:dyDescent="0.25">
      <c r="A51" s="8" t="s">
        <v>100</v>
      </c>
      <c r="B51" s="75">
        <f t="shared" ref="B51:U51" si="21">IF(B$47=1,$N24,IF(B$47&lt;=$B$44,$N24+(B$47-1)/($B$44-1)*($N36-$N24),IF(B$47&gt;$B$44,$N36,"ERROR")))</f>
        <v>12</v>
      </c>
      <c r="C51" s="75">
        <f t="shared" si="21"/>
        <v>12.777777777777779</v>
      </c>
      <c r="D51" s="75">
        <f t="shared" si="21"/>
        <v>13.555555555555555</v>
      </c>
      <c r="E51" s="75">
        <f t="shared" si="21"/>
        <v>14.333333333333332</v>
      </c>
      <c r="F51" s="75">
        <f t="shared" si="21"/>
        <v>15.111111111111111</v>
      </c>
      <c r="G51" s="75">
        <f t="shared" si="21"/>
        <v>15.888888888888889</v>
      </c>
      <c r="H51" s="75">
        <f t="shared" si="21"/>
        <v>16.666666666666664</v>
      </c>
      <c r="I51" s="75">
        <f t="shared" si="21"/>
        <v>17.444444444444443</v>
      </c>
      <c r="J51" s="75">
        <f t="shared" si="21"/>
        <v>18.222222222222221</v>
      </c>
      <c r="K51" s="75">
        <f t="shared" si="21"/>
        <v>19</v>
      </c>
      <c r="L51" s="75">
        <f t="shared" si="21"/>
        <v>19</v>
      </c>
      <c r="M51" s="75">
        <f t="shared" si="21"/>
        <v>19</v>
      </c>
      <c r="N51" s="75">
        <f t="shared" si="21"/>
        <v>19</v>
      </c>
      <c r="O51" s="75">
        <f t="shared" si="21"/>
        <v>19</v>
      </c>
      <c r="P51" s="75">
        <f t="shared" si="21"/>
        <v>19</v>
      </c>
      <c r="Q51" s="75">
        <f t="shared" si="21"/>
        <v>19</v>
      </c>
      <c r="R51" s="75">
        <f t="shared" si="21"/>
        <v>19</v>
      </c>
      <c r="S51" s="75">
        <f t="shared" si="21"/>
        <v>19</v>
      </c>
      <c r="T51" s="75">
        <f t="shared" si="21"/>
        <v>19</v>
      </c>
      <c r="U51" s="75">
        <f t="shared" si="21"/>
        <v>19</v>
      </c>
    </row>
    <row r="52" spans="1:21" s="8" customFormat="1" x14ac:dyDescent="0.25">
      <c r="A52" s="19"/>
      <c r="B52" s="75"/>
      <c r="F52" s="19"/>
      <c r="G52" s="19"/>
      <c r="H52" s="73"/>
      <c r="I52" s="73"/>
      <c r="J52" s="73"/>
      <c r="K52" s="73"/>
      <c r="L52" s="74"/>
    </row>
    <row r="53" spans="1:21" s="8" customFormat="1" x14ac:dyDescent="0.25">
      <c r="A53" s="19" t="s">
        <v>106</v>
      </c>
      <c r="B53" s="75"/>
      <c r="F53" s="19"/>
      <c r="G53" s="19"/>
      <c r="H53" s="73"/>
      <c r="I53" s="73"/>
      <c r="J53" s="73"/>
      <c r="K53" s="73"/>
      <c r="L53" s="74"/>
    </row>
    <row r="54" spans="1:21" s="8" customFormat="1" x14ac:dyDescent="0.25">
      <c r="A54" s="8" t="s">
        <v>98</v>
      </c>
      <c r="B54" s="75">
        <f t="shared" ref="B54:U54" si="22">IF(B$47=1,$N28,IF(B$47&lt;=$B$44,$N28+(B$47-1)/($B$44-1)*($N40-$N28),IF(B$47&gt;$B$44,$N40,"ERROR")))</f>
        <v>22.04081632653061</v>
      </c>
      <c r="C54" s="75">
        <f t="shared" si="22"/>
        <v>22.258503401360542</v>
      </c>
      <c r="D54" s="75">
        <f t="shared" si="22"/>
        <v>22.476190476190474</v>
      </c>
      <c r="E54" s="75">
        <f t="shared" si="22"/>
        <v>22.693877551020407</v>
      </c>
      <c r="F54" s="75">
        <f t="shared" si="22"/>
        <v>22.911564625850339</v>
      </c>
      <c r="G54" s="75">
        <f t="shared" si="22"/>
        <v>23.129251700680271</v>
      </c>
      <c r="H54" s="75">
        <f t="shared" si="22"/>
        <v>23.346938775510203</v>
      </c>
      <c r="I54" s="75">
        <f t="shared" si="22"/>
        <v>23.564625850340136</v>
      </c>
      <c r="J54" s="75">
        <f t="shared" si="22"/>
        <v>23.782312925170068</v>
      </c>
      <c r="K54" s="75">
        <f t="shared" si="22"/>
        <v>24</v>
      </c>
      <c r="L54" s="75">
        <f t="shared" si="22"/>
        <v>24</v>
      </c>
      <c r="M54" s="75">
        <f t="shared" si="22"/>
        <v>24</v>
      </c>
      <c r="N54" s="75">
        <f t="shared" si="22"/>
        <v>24</v>
      </c>
      <c r="O54" s="75">
        <f t="shared" si="22"/>
        <v>24</v>
      </c>
      <c r="P54" s="75">
        <f t="shared" si="22"/>
        <v>24</v>
      </c>
      <c r="Q54" s="75">
        <f t="shared" si="22"/>
        <v>24</v>
      </c>
      <c r="R54" s="75">
        <f t="shared" si="22"/>
        <v>24</v>
      </c>
      <c r="S54" s="75">
        <f t="shared" si="22"/>
        <v>24</v>
      </c>
      <c r="T54" s="75">
        <f t="shared" si="22"/>
        <v>24</v>
      </c>
      <c r="U54" s="75">
        <f t="shared" si="22"/>
        <v>24</v>
      </c>
    </row>
    <row r="55" spans="1:21" s="8" customFormat="1" x14ac:dyDescent="0.25">
      <c r="A55" s="8" t="s">
        <v>99</v>
      </c>
      <c r="B55" s="75">
        <f t="shared" ref="B55:U55" si="23">IF(B$47=1,$N29,IF(B$47&lt;=$B$44,$N29+(B$47-1)/($B$44-1)*($N41-$N29),IF(B$47&gt;$B$44,$N41,"ERROR")))</f>
        <v>14.896551724137932</v>
      </c>
      <c r="C55" s="75">
        <f t="shared" si="23"/>
        <v>15.563218390804598</v>
      </c>
      <c r="D55" s="75">
        <f t="shared" si="23"/>
        <v>16.229885057471265</v>
      </c>
      <c r="E55" s="75">
        <f t="shared" si="23"/>
        <v>16.896551724137932</v>
      </c>
      <c r="F55" s="75">
        <f t="shared" si="23"/>
        <v>17.5632183908046</v>
      </c>
      <c r="G55" s="75">
        <f t="shared" si="23"/>
        <v>18.229885057471265</v>
      </c>
      <c r="H55" s="75">
        <f t="shared" si="23"/>
        <v>18.896551724137932</v>
      </c>
      <c r="I55" s="75">
        <f t="shared" si="23"/>
        <v>19.5632183908046</v>
      </c>
      <c r="J55" s="75">
        <f t="shared" si="23"/>
        <v>20.229885057471265</v>
      </c>
      <c r="K55" s="75">
        <f t="shared" si="23"/>
        <v>20.896551724137932</v>
      </c>
      <c r="L55" s="75">
        <f t="shared" si="23"/>
        <v>20.896551724137932</v>
      </c>
      <c r="M55" s="75">
        <f t="shared" si="23"/>
        <v>20.896551724137932</v>
      </c>
      <c r="N55" s="75">
        <f t="shared" si="23"/>
        <v>20.896551724137932</v>
      </c>
      <c r="O55" s="75">
        <f t="shared" si="23"/>
        <v>20.896551724137932</v>
      </c>
      <c r="P55" s="75">
        <f t="shared" si="23"/>
        <v>20.896551724137932</v>
      </c>
      <c r="Q55" s="75">
        <f t="shared" si="23"/>
        <v>20.896551724137932</v>
      </c>
      <c r="R55" s="75">
        <f t="shared" si="23"/>
        <v>20.896551724137932</v>
      </c>
      <c r="S55" s="75">
        <f t="shared" si="23"/>
        <v>20.896551724137932</v>
      </c>
      <c r="T55" s="75">
        <f t="shared" si="23"/>
        <v>20.896551724137932</v>
      </c>
      <c r="U55" s="75">
        <f t="shared" si="23"/>
        <v>20.896551724137932</v>
      </c>
    </row>
    <row r="56" spans="1:21" s="8" customFormat="1" x14ac:dyDescent="0.25">
      <c r="A56" s="19"/>
      <c r="F56" s="19"/>
      <c r="G56" s="19"/>
      <c r="H56" s="73"/>
      <c r="I56" s="73"/>
      <c r="J56" s="73"/>
      <c r="K56" s="73"/>
      <c r="L56" s="74"/>
    </row>
    <row r="57" spans="1:21" s="8" customFormat="1" x14ac:dyDescent="0.25">
      <c r="A57" s="78" t="s">
        <v>129</v>
      </c>
      <c r="F57" s="19"/>
      <c r="G57" s="19"/>
      <c r="H57" s="73"/>
      <c r="I57" s="73"/>
      <c r="J57" s="73"/>
      <c r="K57" s="73"/>
      <c r="L57" s="74"/>
    </row>
    <row r="58" spans="1:21" x14ac:dyDescent="0.25">
      <c r="A58" s="5" t="s">
        <v>213</v>
      </c>
    </row>
    <row r="59" spans="1:21" x14ac:dyDescent="0.25">
      <c r="A59" s="30" t="s">
        <v>47</v>
      </c>
    </row>
    <row r="60" spans="1:21" x14ac:dyDescent="0.25">
      <c r="C60" s="5"/>
      <c r="D60" s="5"/>
      <c r="E60" s="5"/>
      <c r="F60" s="5"/>
      <c r="G60" s="5"/>
    </row>
    <row r="61" spans="1:21" s="8" customFormat="1" x14ac:dyDescent="0.25">
      <c r="A61" s="19" t="s">
        <v>96</v>
      </c>
      <c r="B61" s="19" t="s">
        <v>109</v>
      </c>
      <c r="C61" s="19"/>
      <c r="D61" s="19"/>
      <c r="E61" s="19"/>
      <c r="F61" s="19"/>
      <c r="G61" s="19"/>
      <c r="H61" s="19" t="s">
        <v>110</v>
      </c>
      <c r="N61" s="19" t="s">
        <v>111</v>
      </c>
    </row>
    <row r="62" spans="1:21" s="8" customFormat="1" x14ac:dyDescent="0.25">
      <c r="A62" s="19" t="s">
        <v>97</v>
      </c>
      <c r="B62" s="19" t="s">
        <v>101</v>
      </c>
      <c r="C62" s="19" t="s">
        <v>102</v>
      </c>
      <c r="D62" s="19" t="s">
        <v>103</v>
      </c>
      <c r="E62" s="19" t="s">
        <v>104</v>
      </c>
      <c r="G62" s="19"/>
      <c r="H62" s="19" t="s">
        <v>101</v>
      </c>
      <c r="I62" s="19" t="s">
        <v>102</v>
      </c>
      <c r="J62" s="19" t="s">
        <v>103</v>
      </c>
      <c r="K62" s="19" t="s">
        <v>104</v>
      </c>
      <c r="L62" s="72" t="s">
        <v>105</v>
      </c>
    </row>
    <row r="63" spans="1:21" s="8" customFormat="1" x14ac:dyDescent="0.25">
      <c r="A63" s="8" t="s">
        <v>98</v>
      </c>
      <c r="B63" s="2">
        <v>0</v>
      </c>
      <c r="C63" s="2">
        <v>26</v>
      </c>
      <c r="D63" s="2">
        <v>26</v>
      </c>
      <c r="E63" s="2">
        <v>9</v>
      </c>
      <c r="G63" s="19"/>
      <c r="H63" s="73">
        <f>B63/$B$5</f>
        <v>0</v>
      </c>
      <c r="I63" s="73">
        <f t="shared" ref="I63" si="24">C63/$B$5</f>
        <v>0.42622950819672129</v>
      </c>
      <c r="J63" s="73">
        <f t="shared" ref="J63" si="25">D63/$B$5</f>
        <v>0.42622950819672129</v>
      </c>
      <c r="K63" s="73">
        <f t="shared" ref="K63" si="26">E63/$B$5</f>
        <v>0.14754098360655737</v>
      </c>
      <c r="L63" s="74">
        <f>SUM(H63:K63)</f>
        <v>1</v>
      </c>
      <c r="N63" s="75">
        <f>H63*6+I63*12+J63*18+K63*24</f>
        <v>16.327868852459016</v>
      </c>
    </row>
    <row r="64" spans="1:21" s="8" customFormat="1" x14ac:dyDescent="0.25">
      <c r="A64" s="8" t="s">
        <v>99</v>
      </c>
      <c r="B64" s="2">
        <v>0</v>
      </c>
      <c r="C64" s="2">
        <v>3</v>
      </c>
      <c r="D64" s="2">
        <v>3</v>
      </c>
      <c r="E64" s="2">
        <v>0</v>
      </c>
      <c r="G64" s="19"/>
      <c r="H64" s="73">
        <f>B64/$B$6</f>
        <v>0</v>
      </c>
      <c r="I64" s="73">
        <f t="shared" ref="I64" si="27">C64/$B$6</f>
        <v>0.5</v>
      </c>
      <c r="J64" s="73">
        <f t="shared" ref="J64" si="28">D64/$B$6</f>
        <v>0.5</v>
      </c>
      <c r="K64" s="73">
        <f t="shared" ref="K64" si="29">E64/$B$6</f>
        <v>0</v>
      </c>
      <c r="L64" s="74">
        <f t="shared" ref="L64:L65" si="30">SUM(H64:K64)</f>
        <v>1</v>
      </c>
      <c r="N64" s="75">
        <f t="shared" ref="N64:N65" si="31">H64*6+I64*12+J64*18+K64*24</f>
        <v>15</v>
      </c>
    </row>
    <row r="65" spans="1:14" s="8" customFormat="1" x14ac:dyDescent="0.25">
      <c r="A65" s="8" t="s">
        <v>100</v>
      </c>
      <c r="B65" s="2">
        <v>5</v>
      </c>
      <c r="C65" s="2">
        <v>13</v>
      </c>
      <c r="D65" s="2">
        <v>0</v>
      </c>
      <c r="E65" s="2">
        <v>0</v>
      </c>
      <c r="G65" s="19"/>
      <c r="H65" s="73">
        <f>B65/$B$7</f>
        <v>0.27777777777777779</v>
      </c>
      <c r="I65" s="73">
        <f t="shared" ref="I65" si="32">C65/$B$7</f>
        <v>0.72222222222222221</v>
      </c>
      <c r="J65" s="73">
        <f t="shared" ref="J65" si="33">D65/$B$7</f>
        <v>0</v>
      </c>
      <c r="K65" s="73">
        <f t="shared" ref="K65" si="34">E65/$B$7</f>
        <v>0</v>
      </c>
      <c r="L65" s="74">
        <f t="shared" si="30"/>
        <v>1</v>
      </c>
      <c r="N65" s="75">
        <f t="shared" si="31"/>
        <v>10.333333333333332</v>
      </c>
    </row>
    <row r="66" spans="1:14" s="8" customFormat="1" x14ac:dyDescent="0.25">
      <c r="G66" s="19"/>
      <c r="H66" s="73"/>
      <c r="I66" s="73"/>
      <c r="J66" s="73"/>
      <c r="K66" s="73"/>
      <c r="L66" s="74"/>
      <c r="N66" s="77">
        <f>(SUM(B63:B65)*6+SUM(C63:C65)*12+SUM(D63:D65)*18+SUM(E63:E65)*24)/SUM(B63:E65)</f>
        <v>14.964705882352941</v>
      </c>
    </row>
    <row r="67" spans="1:14" s="8" customFormat="1" x14ac:dyDescent="0.25">
      <c r="G67" s="19"/>
      <c r="H67" s="19"/>
      <c r="I67" s="19"/>
      <c r="J67" s="19"/>
      <c r="K67" s="19"/>
      <c r="L67" s="19"/>
    </row>
    <row r="68" spans="1:14" s="8" customFormat="1" x14ac:dyDescent="0.25">
      <c r="A68" s="19" t="s">
        <v>106</v>
      </c>
      <c r="B68" s="19" t="s">
        <v>101</v>
      </c>
      <c r="C68" s="19" t="s">
        <v>102</v>
      </c>
      <c r="D68" s="19" t="s">
        <v>103</v>
      </c>
      <c r="E68" s="19" t="s">
        <v>104</v>
      </c>
      <c r="G68" s="19"/>
      <c r="H68" s="19" t="s">
        <v>101</v>
      </c>
      <c r="I68" s="19" t="s">
        <v>102</v>
      </c>
      <c r="J68" s="19" t="s">
        <v>103</v>
      </c>
      <c r="K68" s="19" t="s">
        <v>104</v>
      </c>
      <c r="L68" s="72" t="s">
        <v>105</v>
      </c>
    </row>
    <row r="69" spans="1:14" s="8" customFormat="1" x14ac:dyDescent="0.25">
      <c r="A69" s="8" t="s">
        <v>98</v>
      </c>
      <c r="B69" s="2">
        <v>0</v>
      </c>
      <c r="C69" s="2">
        <v>10</v>
      </c>
      <c r="D69" s="2">
        <v>29</v>
      </c>
      <c r="E69" s="2">
        <v>10</v>
      </c>
      <c r="G69" s="19"/>
      <c r="H69" s="73">
        <f>B69/$C$5</f>
        <v>0</v>
      </c>
      <c r="I69" s="73">
        <f t="shared" ref="I69" si="35">C69/$C$5</f>
        <v>0.20408163265306123</v>
      </c>
      <c r="J69" s="73">
        <f t="shared" ref="J69" si="36">D69/$C$5</f>
        <v>0.59183673469387754</v>
      </c>
      <c r="K69" s="73">
        <f t="shared" ref="K69" si="37">E69/$C$5</f>
        <v>0.20408163265306123</v>
      </c>
      <c r="L69" s="74">
        <f>SUM(H69:K69)</f>
        <v>1</v>
      </c>
      <c r="N69" s="75">
        <f t="shared" ref="N69:N70" si="38">H69*6+I69*12+J69*18+K69*24</f>
        <v>18</v>
      </c>
    </row>
    <row r="70" spans="1:14" s="8" customFormat="1" x14ac:dyDescent="0.25">
      <c r="A70" s="8" t="s">
        <v>99</v>
      </c>
      <c r="B70" s="2">
        <v>10</v>
      </c>
      <c r="C70" s="2">
        <v>19</v>
      </c>
      <c r="D70" s="2">
        <v>0</v>
      </c>
      <c r="E70" s="2">
        <v>0</v>
      </c>
      <c r="G70" s="19"/>
      <c r="H70" s="73">
        <f>B70/$C$6</f>
        <v>0.34482758620689657</v>
      </c>
      <c r="I70" s="73">
        <f t="shared" ref="I70" si="39">C70/$C$6</f>
        <v>0.65517241379310343</v>
      </c>
      <c r="J70" s="73">
        <f t="shared" ref="J70" si="40">D70/$C$6</f>
        <v>0</v>
      </c>
      <c r="K70" s="73">
        <f t="shared" ref="K70" si="41">E70/$C$6</f>
        <v>0</v>
      </c>
      <c r="L70" s="74">
        <f>SUM(H70:K70)</f>
        <v>1</v>
      </c>
      <c r="N70" s="75">
        <f t="shared" si="38"/>
        <v>9.931034482758621</v>
      </c>
    </row>
    <row r="71" spans="1:14" s="8" customFormat="1" x14ac:dyDescent="0.25">
      <c r="G71" s="19"/>
      <c r="H71" s="73"/>
      <c r="I71" s="73"/>
      <c r="J71" s="73"/>
      <c r="K71" s="73"/>
      <c r="L71" s="74"/>
      <c r="N71" s="77">
        <f>(SUM(B69:B70)*6+SUM(C69:C70)*12+SUM(D69:D70)*18+SUM(E69:E70)*24)/SUM(B69:E70)</f>
        <v>15</v>
      </c>
    </row>
    <row r="72" spans="1:14" s="8" customFormat="1" x14ac:dyDescent="0.25">
      <c r="B72" s="19"/>
      <c r="C72" s="19"/>
      <c r="D72" s="19"/>
      <c r="E72" s="19"/>
      <c r="F72" s="74"/>
      <c r="G72" s="19"/>
    </row>
    <row r="73" spans="1:14" s="8" customFormat="1" x14ac:dyDescent="0.25">
      <c r="A73" s="19" t="s">
        <v>107</v>
      </c>
      <c r="B73" s="19"/>
      <c r="C73" s="19"/>
      <c r="D73" s="19"/>
      <c r="E73" s="19"/>
      <c r="F73" s="19"/>
      <c r="G73" s="19"/>
    </row>
    <row r="74" spans="1:14" s="8" customFormat="1" x14ac:dyDescent="0.25">
      <c r="A74" s="19" t="s">
        <v>97</v>
      </c>
      <c r="B74" s="19" t="s">
        <v>101</v>
      </c>
      <c r="C74" s="19" t="s">
        <v>102</v>
      </c>
      <c r="D74" s="19" t="s">
        <v>103</v>
      </c>
      <c r="E74" s="19" t="s">
        <v>104</v>
      </c>
      <c r="F74" s="19"/>
      <c r="G74" s="19"/>
      <c r="H74" s="19" t="s">
        <v>101</v>
      </c>
      <c r="I74" s="19" t="s">
        <v>102</v>
      </c>
      <c r="J74" s="19" t="s">
        <v>103</v>
      </c>
      <c r="K74" s="19" t="s">
        <v>104</v>
      </c>
      <c r="L74" s="72" t="s">
        <v>105</v>
      </c>
    </row>
    <row r="75" spans="1:14" s="8" customFormat="1" x14ac:dyDescent="0.25">
      <c r="A75" s="8" t="s">
        <v>98</v>
      </c>
      <c r="B75" s="2">
        <v>0</v>
      </c>
      <c r="C75" s="2">
        <v>13</v>
      </c>
      <c r="D75" s="2">
        <v>26</v>
      </c>
      <c r="E75" s="2">
        <v>22</v>
      </c>
      <c r="F75" s="19"/>
      <c r="G75" s="19"/>
      <c r="H75" s="73">
        <f>B75/$B$5</f>
        <v>0</v>
      </c>
      <c r="I75" s="73">
        <f t="shared" ref="I75" si="42">C75/$B$5</f>
        <v>0.21311475409836064</v>
      </c>
      <c r="J75" s="73">
        <f t="shared" ref="J75" si="43">D75/$B$5</f>
        <v>0.42622950819672129</v>
      </c>
      <c r="K75" s="73">
        <f t="shared" ref="K75" si="44">E75/$B$5</f>
        <v>0.36065573770491804</v>
      </c>
      <c r="L75" s="74">
        <f>SUM(H75:K75)</f>
        <v>1</v>
      </c>
      <c r="N75" s="75">
        <f t="shared" ref="N75:N77" si="45">H75*6+I75*12+J75*18+K75*24</f>
        <v>18.885245901639344</v>
      </c>
    </row>
    <row r="76" spans="1:14" s="8" customFormat="1" x14ac:dyDescent="0.25">
      <c r="A76" s="8" t="s">
        <v>99</v>
      </c>
      <c r="B76" s="2">
        <v>0</v>
      </c>
      <c r="C76" s="2">
        <v>1</v>
      </c>
      <c r="D76" s="2">
        <v>3</v>
      </c>
      <c r="E76" s="2">
        <v>2</v>
      </c>
      <c r="F76" s="19"/>
      <c r="G76" s="19"/>
      <c r="H76" s="73">
        <f>B76/$B$6</f>
        <v>0</v>
      </c>
      <c r="I76" s="73">
        <f t="shared" ref="I76" si="46">C76/$B$6</f>
        <v>0.16666666666666666</v>
      </c>
      <c r="J76" s="73">
        <f t="shared" ref="J76" si="47">D76/$B$6</f>
        <v>0.5</v>
      </c>
      <c r="K76" s="73">
        <f t="shared" ref="K76" si="48">E76/$B$6</f>
        <v>0.33333333333333331</v>
      </c>
      <c r="L76" s="74">
        <f t="shared" ref="L76:L77" si="49">SUM(H76:K76)</f>
        <v>1</v>
      </c>
      <c r="N76" s="75">
        <f t="shared" si="45"/>
        <v>19</v>
      </c>
    </row>
    <row r="77" spans="1:14" s="8" customFormat="1" x14ac:dyDescent="0.25">
      <c r="A77" s="8" t="s">
        <v>100</v>
      </c>
      <c r="B77" s="2">
        <v>0</v>
      </c>
      <c r="C77" s="2">
        <v>10</v>
      </c>
      <c r="D77" s="2">
        <v>8</v>
      </c>
      <c r="E77" s="2">
        <v>0</v>
      </c>
      <c r="F77" s="19"/>
      <c r="G77" s="19"/>
      <c r="H77" s="73">
        <f>B77/$B$7</f>
        <v>0</v>
      </c>
      <c r="I77" s="73">
        <f t="shared" ref="I77" si="50">C77/$B$7</f>
        <v>0.55555555555555558</v>
      </c>
      <c r="J77" s="73">
        <f t="shared" ref="J77" si="51">D77/$B$7</f>
        <v>0.44444444444444442</v>
      </c>
      <c r="K77" s="73">
        <f t="shared" ref="K77" si="52">E77/$B$7</f>
        <v>0</v>
      </c>
      <c r="L77" s="74">
        <f t="shared" si="49"/>
        <v>1</v>
      </c>
      <c r="N77" s="75">
        <f t="shared" si="45"/>
        <v>14.666666666666668</v>
      </c>
    </row>
    <row r="78" spans="1:14" s="8" customFormat="1" x14ac:dyDescent="0.25">
      <c r="F78" s="19"/>
      <c r="G78" s="19"/>
      <c r="H78" s="73"/>
      <c r="I78" s="73"/>
      <c r="J78" s="73"/>
      <c r="K78" s="73"/>
      <c r="L78" s="74"/>
      <c r="N78" s="77">
        <f>(SUM(B75:B77)*6+SUM(C75:C77)*12+SUM(D75:D77)*18+SUM(E75:E77)*24)/SUM(B75:E77)</f>
        <v>18</v>
      </c>
    </row>
    <row r="79" spans="1:14" s="8" customFormat="1" x14ac:dyDescent="0.25">
      <c r="F79" s="19"/>
      <c r="G79" s="19"/>
      <c r="H79" s="19"/>
      <c r="I79" s="19"/>
      <c r="J79" s="19"/>
      <c r="K79" s="19"/>
      <c r="L79" s="19"/>
    </row>
    <row r="80" spans="1:14" s="8" customFormat="1" x14ac:dyDescent="0.25">
      <c r="A80" s="19" t="s">
        <v>106</v>
      </c>
      <c r="B80" s="19" t="s">
        <v>101</v>
      </c>
      <c r="C80" s="19" t="s">
        <v>102</v>
      </c>
      <c r="D80" s="19" t="s">
        <v>103</v>
      </c>
      <c r="E80" s="19" t="s">
        <v>104</v>
      </c>
      <c r="F80" s="19"/>
      <c r="G80" s="19"/>
      <c r="H80" s="19" t="s">
        <v>101</v>
      </c>
      <c r="I80" s="19" t="s">
        <v>102</v>
      </c>
      <c r="J80" s="19" t="s">
        <v>103</v>
      </c>
      <c r="K80" s="19" t="s">
        <v>104</v>
      </c>
      <c r="L80" s="72" t="s">
        <v>105</v>
      </c>
    </row>
    <row r="81" spans="1:21" s="8" customFormat="1" x14ac:dyDescent="0.25">
      <c r="A81" s="8" t="s">
        <v>98</v>
      </c>
      <c r="B81" s="2">
        <v>0</v>
      </c>
      <c r="C81" s="2">
        <v>5</v>
      </c>
      <c r="D81" s="2">
        <v>20</v>
      </c>
      <c r="E81" s="2">
        <v>24</v>
      </c>
      <c r="F81" s="19"/>
      <c r="G81" s="19"/>
      <c r="H81" s="73">
        <f>B81/$C$5</f>
        <v>0</v>
      </c>
      <c r="I81" s="73">
        <f t="shared" ref="I81" si="53">C81/$C$5</f>
        <v>0.10204081632653061</v>
      </c>
      <c r="J81" s="73">
        <f t="shared" ref="J81" si="54">D81/$C$5</f>
        <v>0.40816326530612246</v>
      </c>
      <c r="K81" s="73">
        <f t="shared" ref="K81" si="55">E81/$C$5</f>
        <v>0.48979591836734693</v>
      </c>
      <c r="L81" s="74">
        <f>SUM(H81:K81)</f>
        <v>1</v>
      </c>
      <c r="N81" s="75">
        <f t="shared" ref="N81:N82" si="56">H81*6+I81*12+J81*18+K81*24</f>
        <v>20.326530612244895</v>
      </c>
    </row>
    <row r="82" spans="1:21" s="8" customFormat="1" x14ac:dyDescent="0.25">
      <c r="A82" s="8" t="s">
        <v>99</v>
      </c>
      <c r="B82" s="2">
        <v>4</v>
      </c>
      <c r="C82" s="2">
        <v>11</v>
      </c>
      <c r="D82" s="2">
        <v>14</v>
      </c>
      <c r="E82" s="2">
        <v>0</v>
      </c>
      <c r="F82" s="19"/>
      <c r="G82" s="19"/>
      <c r="H82" s="73">
        <f>B82/$C$6</f>
        <v>0.13793103448275862</v>
      </c>
      <c r="I82" s="73">
        <f t="shared" ref="I82" si="57">C82/$C$6</f>
        <v>0.37931034482758619</v>
      </c>
      <c r="J82" s="73">
        <f t="shared" ref="J82" si="58">D82/$C$6</f>
        <v>0.48275862068965519</v>
      </c>
      <c r="K82" s="73">
        <f t="shared" ref="K82" si="59">E82/$C$6</f>
        <v>0</v>
      </c>
      <c r="L82" s="74">
        <f>SUM(H82:K82)</f>
        <v>1</v>
      </c>
      <c r="N82" s="75">
        <f t="shared" si="56"/>
        <v>14.068965517241379</v>
      </c>
    </row>
    <row r="83" spans="1:21" s="8" customFormat="1" x14ac:dyDescent="0.25">
      <c r="F83" s="19"/>
      <c r="G83" s="19"/>
      <c r="H83" s="73"/>
      <c r="I83" s="73"/>
      <c r="J83" s="73"/>
      <c r="K83" s="73"/>
      <c r="L83" s="74"/>
      <c r="N83" s="77">
        <f>(SUM(B81:B82)*6+SUM(C81:C82)*12+SUM(D81:D82)*18+SUM(E81:E82)*24)/SUM(B81:E82)</f>
        <v>18</v>
      </c>
    </row>
    <row r="84" spans="1:21" s="8" customFormat="1" x14ac:dyDescent="0.25">
      <c r="F84" s="19"/>
      <c r="G84" s="19"/>
      <c r="H84" s="73"/>
      <c r="I84" s="73"/>
      <c r="J84" s="73"/>
      <c r="K84" s="73"/>
      <c r="L84" s="74"/>
    </row>
    <row r="85" spans="1:21" s="8" customFormat="1" x14ac:dyDescent="0.25">
      <c r="A85" s="19" t="s">
        <v>108</v>
      </c>
      <c r="B85" s="2">
        <v>5</v>
      </c>
      <c r="F85" s="19"/>
      <c r="G85" s="19"/>
      <c r="H85" s="73"/>
      <c r="I85" s="73"/>
      <c r="J85" s="73"/>
      <c r="K85" s="73"/>
      <c r="L85" s="74"/>
    </row>
    <row r="86" spans="1:21" s="8" customFormat="1" x14ac:dyDescent="0.25">
      <c r="A86" s="19"/>
      <c r="F86" s="19"/>
      <c r="G86" s="19"/>
      <c r="H86" s="73"/>
      <c r="I86" s="73"/>
      <c r="J86" s="73"/>
      <c r="K86" s="73"/>
      <c r="L86" s="74"/>
    </row>
    <row r="87" spans="1:21" s="8" customFormat="1" x14ac:dyDescent="0.25">
      <c r="A87" s="19"/>
      <c r="B87" s="8" t="s">
        <v>1</v>
      </c>
      <c r="F87" s="19"/>
      <c r="G87" s="19"/>
      <c r="H87" s="73"/>
      <c r="I87" s="73"/>
      <c r="J87" s="73"/>
      <c r="K87" s="73"/>
      <c r="L87" s="74"/>
    </row>
    <row r="88" spans="1:21" s="8" customFormat="1" x14ac:dyDescent="0.25">
      <c r="A88" s="19" t="s">
        <v>126</v>
      </c>
      <c r="B88" s="8">
        <v>1</v>
      </c>
      <c r="C88" s="8">
        <v>2</v>
      </c>
      <c r="D88" s="8">
        <v>3</v>
      </c>
      <c r="E88" s="8">
        <v>4</v>
      </c>
      <c r="F88" s="8">
        <v>5</v>
      </c>
      <c r="G88" s="8">
        <v>6</v>
      </c>
      <c r="H88" s="8">
        <v>7</v>
      </c>
      <c r="I88" s="8">
        <v>8</v>
      </c>
      <c r="J88" s="8">
        <v>9</v>
      </c>
      <c r="K88" s="8">
        <v>10</v>
      </c>
      <c r="L88" s="8">
        <v>11</v>
      </c>
      <c r="M88" s="8">
        <v>12</v>
      </c>
      <c r="N88" s="8">
        <v>13</v>
      </c>
      <c r="O88" s="8">
        <v>14</v>
      </c>
      <c r="P88" s="8">
        <v>15</v>
      </c>
      <c r="Q88" s="8">
        <v>16</v>
      </c>
      <c r="R88" s="8">
        <v>17</v>
      </c>
      <c r="S88" s="8">
        <v>18</v>
      </c>
      <c r="T88" s="8">
        <v>19</v>
      </c>
      <c r="U88" s="8">
        <v>20</v>
      </c>
    </row>
    <row r="89" spans="1:21" s="8" customFormat="1" x14ac:dyDescent="0.25">
      <c r="A89" s="19" t="s">
        <v>97</v>
      </c>
      <c r="F89" s="19"/>
      <c r="G89" s="19"/>
      <c r="H89" s="73"/>
      <c r="I89" s="73"/>
      <c r="J89" s="73"/>
      <c r="K89" s="73"/>
      <c r="L89" s="74"/>
    </row>
    <row r="90" spans="1:21" s="8" customFormat="1" x14ac:dyDescent="0.25">
      <c r="A90" s="8" t="s">
        <v>98</v>
      </c>
      <c r="B90" s="75">
        <f>IF(B$88=1,$N63,IF(B$88&lt;=$B$85,$N63+(B$88-1)/($B$85-1)*($N75-$N63),IF(B$88&gt;$B$85,$N75,"ERROR")))</f>
        <v>16.327868852459016</v>
      </c>
      <c r="C90" s="75">
        <f t="shared" ref="C90:G90" si="60">IF(C$88=1,$N63,IF(C$88&lt;=$B$85,$N63+(C$88-1)/($B$85-1)*($N75-$N63),IF(C$88&gt;$B$85,$N75,"ERROR")))</f>
        <v>16.967213114754099</v>
      </c>
      <c r="D90" s="75">
        <f t="shared" si="60"/>
        <v>17.606557377049178</v>
      </c>
      <c r="E90" s="75">
        <f t="shared" si="60"/>
        <v>18.245901639344261</v>
      </c>
      <c r="F90" s="75">
        <f t="shared" si="60"/>
        <v>18.885245901639344</v>
      </c>
      <c r="G90" s="75">
        <f t="shared" si="60"/>
        <v>18.885245901639344</v>
      </c>
      <c r="H90" s="75">
        <f t="shared" ref="H90:U90" si="61">IF(H$88=1,$N63,IF(H$88&lt;=$B$85,$N63+(H$88-1)/($B$85-1)*($N75-$N63),IF(H$88&gt;$B$85,$N75,"ERROR")))</f>
        <v>18.885245901639344</v>
      </c>
      <c r="I90" s="75">
        <f t="shared" si="61"/>
        <v>18.885245901639344</v>
      </c>
      <c r="J90" s="75">
        <f t="shared" si="61"/>
        <v>18.885245901639344</v>
      </c>
      <c r="K90" s="75">
        <f t="shared" si="61"/>
        <v>18.885245901639344</v>
      </c>
      <c r="L90" s="75">
        <f t="shared" si="61"/>
        <v>18.885245901639344</v>
      </c>
      <c r="M90" s="75">
        <f t="shared" si="61"/>
        <v>18.885245901639344</v>
      </c>
      <c r="N90" s="75">
        <f t="shared" si="61"/>
        <v>18.885245901639344</v>
      </c>
      <c r="O90" s="75">
        <f t="shared" si="61"/>
        <v>18.885245901639344</v>
      </c>
      <c r="P90" s="75">
        <f t="shared" si="61"/>
        <v>18.885245901639344</v>
      </c>
      <c r="Q90" s="75">
        <f t="shared" si="61"/>
        <v>18.885245901639344</v>
      </c>
      <c r="R90" s="75">
        <f t="shared" si="61"/>
        <v>18.885245901639344</v>
      </c>
      <c r="S90" s="75">
        <f t="shared" si="61"/>
        <v>18.885245901639344</v>
      </c>
      <c r="T90" s="75">
        <f t="shared" si="61"/>
        <v>18.885245901639344</v>
      </c>
      <c r="U90" s="75">
        <f t="shared" si="61"/>
        <v>18.885245901639344</v>
      </c>
    </row>
    <row r="91" spans="1:21" s="8" customFormat="1" x14ac:dyDescent="0.25">
      <c r="A91" s="8" t="s">
        <v>99</v>
      </c>
      <c r="B91" s="75">
        <f t="shared" ref="B91:F92" si="62">IF(B$88=1,$N64,IF(B$88&lt;=$B$85,$N64+(B$88-1)/($B$85-1)*($N76-$N64),IF(B$88&gt;$B$85,$N76,"ERROR")))</f>
        <v>15</v>
      </c>
      <c r="C91" s="75">
        <f t="shared" si="62"/>
        <v>16</v>
      </c>
      <c r="D91" s="75">
        <f t="shared" si="62"/>
        <v>17</v>
      </c>
      <c r="E91" s="75">
        <f t="shared" si="62"/>
        <v>18</v>
      </c>
      <c r="F91" s="75">
        <f t="shared" si="62"/>
        <v>19</v>
      </c>
      <c r="G91" s="75">
        <f t="shared" ref="G91:U91" si="63">IF(G$88=1,$N64,IF(G$88&lt;=$B$85,$N64+(G$88-1)/($B$85-1)*($N76-$N64),IF(G$88&gt;$B$85,$N76,"ERROR")))</f>
        <v>19</v>
      </c>
      <c r="H91" s="75">
        <f t="shared" si="63"/>
        <v>19</v>
      </c>
      <c r="I91" s="75">
        <f t="shared" si="63"/>
        <v>19</v>
      </c>
      <c r="J91" s="75">
        <f t="shared" si="63"/>
        <v>19</v>
      </c>
      <c r="K91" s="75">
        <f t="shared" si="63"/>
        <v>19</v>
      </c>
      <c r="L91" s="75">
        <f t="shared" si="63"/>
        <v>19</v>
      </c>
      <c r="M91" s="75">
        <f t="shared" si="63"/>
        <v>19</v>
      </c>
      <c r="N91" s="75">
        <f t="shared" si="63"/>
        <v>19</v>
      </c>
      <c r="O91" s="75">
        <f t="shared" si="63"/>
        <v>19</v>
      </c>
      <c r="P91" s="75">
        <f t="shared" si="63"/>
        <v>19</v>
      </c>
      <c r="Q91" s="75">
        <f t="shared" si="63"/>
        <v>19</v>
      </c>
      <c r="R91" s="75">
        <f t="shared" si="63"/>
        <v>19</v>
      </c>
      <c r="S91" s="75">
        <f t="shared" si="63"/>
        <v>19</v>
      </c>
      <c r="T91" s="75">
        <f t="shared" si="63"/>
        <v>19</v>
      </c>
      <c r="U91" s="75">
        <f t="shared" si="63"/>
        <v>19</v>
      </c>
    </row>
    <row r="92" spans="1:21" s="8" customFormat="1" x14ac:dyDescent="0.25">
      <c r="A92" s="8" t="s">
        <v>100</v>
      </c>
      <c r="B92" s="75">
        <f t="shared" si="62"/>
        <v>10.333333333333332</v>
      </c>
      <c r="C92" s="75">
        <f t="shared" si="62"/>
        <v>11.416666666666666</v>
      </c>
      <c r="D92" s="75">
        <f t="shared" si="62"/>
        <v>12.5</v>
      </c>
      <c r="E92" s="75">
        <f t="shared" si="62"/>
        <v>13.583333333333334</v>
      </c>
      <c r="F92" s="75">
        <f t="shared" si="62"/>
        <v>14.666666666666668</v>
      </c>
      <c r="G92" s="75">
        <f t="shared" ref="G92:U92" si="64">IF(G$88=1,$N65,IF(G$88&lt;=$B$85,$N65+(G$88-1)/($B$85-1)*($N77-$N65),IF(G$88&gt;$B$85,$N77,"ERROR")))</f>
        <v>14.666666666666668</v>
      </c>
      <c r="H92" s="75">
        <f t="shared" si="64"/>
        <v>14.666666666666668</v>
      </c>
      <c r="I92" s="75">
        <f t="shared" si="64"/>
        <v>14.666666666666668</v>
      </c>
      <c r="J92" s="75">
        <f t="shared" si="64"/>
        <v>14.666666666666668</v>
      </c>
      <c r="K92" s="75">
        <f t="shared" si="64"/>
        <v>14.666666666666668</v>
      </c>
      <c r="L92" s="75">
        <f t="shared" si="64"/>
        <v>14.666666666666668</v>
      </c>
      <c r="M92" s="75">
        <f t="shared" si="64"/>
        <v>14.666666666666668</v>
      </c>
      <c r="N92" s="75">
        <f t="shared" si="64"/>
        <v>14.666666666666668</v>
      </c>
      <c r="O92" s="75">
        <f t="shared" si="64"/>
        <v>14.666666666666668</v>
      </c>
      <c r="P92" s="75">
        <f t="shared" si="64"/>
        <v>14.666666666666668</v>
      </c>
      <c r="Q92" s="75">
        <f t="shared" si="64"/>
        <v>14.666666666666668</v>
      </c>
      <c r="R92" s="75">
        <f t="shared" si="64"/>
        <v>14.666666666666668</v>
      </c>
      <c r="S92" s="75">
        <f t="shared" si="64"/>
        <v>14.666666666666668</v>
      </c>
      <c r="T92" s="75">
        <f t="shared" si="64"/>
        <v>14.666666666666668</v>
      </c>
      <c r="U92" s="75">
        <f t="shared" si="64"/>
        <v>14.666666666666668</v>
      </c>
    </row>
    <row r="93" spans="1:21" s="8" customFormat="1" x14ac:dyDescent="0.25">
      <c r="A93" s="19"/>
      <c r="B93" s="75"/>
      <c r="F93" s="19"/>
      <c r="G93" s="19"/>
      <c r="H93" s="73"/>
      <c r="I93" s="73"/>
      <c r="J93" s="73"/>
      <c r="K93" s="73"/>
      <c r="L93" s="74"/>
    </row>
    <row r="94" spans="1:21" s="8" customFormat="1" x14ac:dyDescent="0.25">
      <c r="A94" s="19" t="s">
        <v>106</v>
      </c>
      <c r="B94" s="75"/>
      <c r="F94" s="19"/>
      <c r="G94" s="19"/>
      <c r="H94" s="73"/>
      <c r="I94" s="73"/>
      <c r="J94" s="73"/>
      <c r="K94" s="73"/>
      <c r="L94" s="74"/>
    </row>
    <row r="95" spans="1:21" s="8" customFormat="1" x14ac:dyDescent="0.25">
      <c r="A95" s="8" t="s">
        <v>98</v>
      </c>
      <c r="B95" s="75">
        <f>IF(B$88=1,$N69,IF(B$88&lt;=$B$85,$N69+(B$88-1)/($B$85-1)*($N81-$N69),IF(B$88&gt;$B$85,$N81,"ERROR")))</f>
        <v>18</v>
      </c>
      <c r="C95" s="75">
        <f t="shared" ref="C95:U95" si="65">IF(C$88=1,$N69,IF(C$88&lt;=$B$85,$N69+(C$88-1)/($B$85-1)*($N81-$N69),IF(C$88&gt;$B$85,$N81,"ERROR")))</f>
        <v>18.581632653061224</v>
      </c>
      <c r="D95" s="75">
        <f t="shared" si="65"/>
        <v>19.163265306122447</v>
      </c>
      <c r="E95" s="75">
        <f t="shared" si="65"/>
        <v>19.744897959183671</v>
      </c>
      <c r="F95" s="75">
        <f t="shared" si="65"/>
        <v>20.326530612244895</v>
      </c>
      <c r="G95" s="75">
        <f t="shared" si="65"/>
        <v>20.326530612244895</v>
      </c>
      <c r="H95" s="75">
        <f t="shared" si="65"/>
        <v>20.326530612244895</v>
      </c>
      <c r="I95" s="75">
        <f t="shared" si="65"/>
        <v>20.326530612244895</v>
      </c>
      <c r="J95" s="75">
        <f t="shared" si="65"/>
        <v>20.326530612244895</v>
      </c>
      <c r="K95" s="75">
        <f t="shared" si="65"/>
        <v>20.326530612244895</v>
      </c>
      <c r="L95" s="75">
        <f t="shared" si="65"/>
        <v>20.326530612244895</v>
      </c>
      <c r="M95" s="75">
        <f t="shared" si="65"/>
        <v>20.326530612244895</v>
      </c>
      <c r="N95" s="75">
        <f t="shared" si="65"/>
        <v>20.326530612244895</v>
      </c>
      <c r="O95" s="75">
        <f t="shared" si="65"/>
        <v>20.326530612244895</v>
      </c>
      <c r="P95" s="75">
        <f t="shared" si="65"/>
        <v>20.326530612244895</v>
      </c>
      <c r="Q95" s="75">
        <f t="shared" si="65"/>
        <v>20.326530612244895</v>
      </c>
      <c r="R95" s="75">
        <f t="shared" si="65"/>
        <v>20.326530612244895</v>
      </c>
      <c r="S95" s="75">
        <f t="shared" si="65"/>
        <v>20.326530612244895</v>
      </c>
      <c r="T95" s="75">
        <f t="shared" si="65"/>
        <v>20.326530612244895</v>
      </c>
      <c r="U95" s="75">
        <f t="shared" si="65"/>
        <v>20.326530612244895</v>
      </c>
    </row>
    <row r="96" spans="1:21" s="8" customFormat="1" x14ac:dyDescent="0.25">
      <c r="A96" s="8" t="s">
        <v>99</v>
      </c>
      <c r="B96" s="75">
        <f>IF(B$88=1,$N70,IF(B$88&lt;=$B$85,$N70+(B$88-1)/($B$85-1)*($N82-$N70),IF(B$88&gt;$B$85,$N82,"ERROR")))</f>
        <v>9.931034482758621</v>
      </c>
      <c r="C96" s="75">
        <f t="shared" ref="C96:U96" si="66">IF(C$88=1,$N70,IF(C$88&lt;=$B$85,$N70+(C$88-1)/($B$85-1)*($N82-$N70),IF(C$88&gt;$B$85,$N82,"ERROR")))</f>
        <v>10.96551724137931</v>
      </c>
      <c r="D96" s="75">
        <f t="shared" si="66"/>
        <v>12</v>
      </c>
      <c r="E96" s="75">
        <f t="shared" si="66"/>
        <v>13.03448275862069</v>
      </c>
      <c r="F96" s="75">
        <f t="shared" si="66"/>
        <v>14.068965517241379</v>
      </c>
      <c r="G96" s="75">
        <f t="shared" si="66"/>
        <v>14.068965517241379</v>
      </c>
      <c r="H96" s="75">
        <f t="shared" si="66"/>
        <v>14.068965517241379</v>
      </c>
      <c r="I96" s="75">
        <f t="shared" si="66"/>
        <v>14.068965517241379</v>
      </c>
      <c r="J96" s="75">
        <f t="shared" si="66"/>
        <v>14.068965517241379</v>
      </c>
      <c r="K96" s="75">
        <f t="shared" si="66"/>
        <v>14.068965517241379</v>
      </c>
      <c r="L96" s="75">
        <f t="shared" si="66"/>
        <v>14.068965517241379</v>
      </c>
      <c r="M96" s="75">
        <f t="shared" si="66"/>
        <v>14.068965517241379</v>
      </c>
      <c r="N96" s="75">
        <f t="shared" si="66"/>
        <v>14.068965517241379</v>
      </c>
      <c r="O96" s="75">
        <f t="shared" si="66"/>
        <v>14.068965517241379</v>
      </c>
      <c r="P96" s="75">
        <f t="shared" si="66"/>
        <v>14.068965517241379</v>
      </c>
      <c r="Q96" s="75">
        <f t="shared" si="66"/>
        <v>14.068965517241379</v>
      </c>
      <c r="R96" s="75">
        <f t="shared" si="66"/>
        <v>14.068965517241379</v>
      </c>
      <c r="S96" s="75">
        <f t="shared" si="66"/>
        <v>14.068965517241379</v>
      </c>
      <c r="T96" s="75">
        <f t="shared" si="66"/>
        <v>14.068965517241379</v>
      </c>
      <c r="U96" s="75">
        <f t="shared" si="66"/>
        <v>14.068965517241379</v>
      </c>
    </row>
    <row r="97" spans="1:14" s="8" customFormat="1" x14ac:dyDescent="0.25">
      <c r="A97" s="19"/>
      <c r="F97" s="19"/>
      <c r="G97" s="19"/>
      <c r="H97" s="73"/>
      <c r="I97" s="73"/>
      <c r="J97" s="73"/>
      <c r="K97" s="73"/>
      <c r="L97" s="74"/>
    </row>
    <row r="98" spans="1:14" s="8" customFormat="1" x14ac:dyDescent="0.25">
      <c r="A98" s="78" t="s">
        <v>130</v>
      </c>
      <c r="F98" s="19"/>
      <c r="G98" s="19"/>
      <c r="H98" s="73"/>
      <c r="I98" s="73"/>
      <c r="J98" s="73"/>
      <c r="K98" s="73"/>
      <c r="L98" s="74"/>
    </row>
    <row r="99" spans="1:14" x14ac:dyDescent="0.25">
      <c r="A99" s="5" t="s">
        <v>214</v>
      </c>
    </row>
    <row r="100" spans="1:14" x14ac:dyDescent="0.25">
      <c r="A100" s="30" t="s">
        <v>47</v>
      </c>
    </row>
    <row r="101" spans="1:14" x14ac:dyDescent="0.25">
      <c r="C101" s="5"/>
      <c r="D101" s="5"/>
      <c r="E101" s="5"/>
      <c r="F101" s="5"/>
      <c r="G101" s="5"/>
    </row>
    <row r="102" spans="1:14" s="8" customFormat="1" x14ac:dyDescent="0.25">
      <c r="A102" s="19" t="s">
        <v>96</v>
      </c>
      <c r="B102" s="19" t="s">
        <v>109</v>
      </c>
      <c r="C102" s="19"/>
      <c r="D102" s="19"/>
      <c r="E102" s="19"/>
      <c r="F102" s="19"/>
      <c r="G102" s="19"/>
      <c r="H102" s="19" t="s">
        <v>110</v>
      </c>
      <c r="N102" s="19" t="s">
        <v>111</v>
      </c>
    </row>
    <row r="103" spans="1:14" s="8" customFormat="1" x14ac:dyDescent="0.25">
      <c r="A103" s="19" t="s">
        <v>97</v>
      </c>
      <c r="B103" s="19" t="s">
        <v>101</v>
      </c>
      <c r="C103" s="19" t="s">
        <v>102</v>
      </c>
      <c r="D103" s="19" t="s">
        <v>103</v>
      </c>
      <c r="E103" s="19" t="s">
        <v>104</v>
      </c>
      <c r="G103" s="19"/>
      <c r="H103" s="19" t="s">
        <v>101</v>
      </c>
      <c r="I103" s="19" t="s">
        <v>102</v>
      </c>
      <c r="J103" s="19" t="s">
        <v>103</v>
      </c>
      <c r="K103" s="19" t="s">
        <v>104</v>
      </c>
      <c r="L103" s="72" t="s">
        <v>105</v>
      </c>
    </row>
    <row r="104" spans="1:14" s="8" customFormat="1" x14ac:dyDescent="0.25">
      <c r="A104" s="8" t="s">
        <v>98</v>
      </c>
      <c r="B104" s="2">
        <v>0</v>
      </c>
      <c r="C104" s="2">
        <v>26</v>
      </c>
      <c r="D104" s="2">
        <v>26</v>
      </c>
      <c r="E104" s="2">
        <v>9</v>
      </c>
      <c r="G104" s="19"/>
      <c r="H104" s="73">
        <f>B104/$B$5</f>
        <v>0</v>
      </c>
      <c r="I104" s="73">
        <f t="shared" ref="I104" si="67">C104/$B$5</f>
        <v>0.42622950819672129</v>
      </c>
      <c r="J104" s="73">
        <f t="shared" ref="J104" si="68">D104/$B$5</f>
        <v>0.42622950819672129</v>
      </c>
      <c r="K104" s="73">
        <f t="shared" ref="K104" si="69">E104/$B$5</f>
        <v>0.14754098360655737</v>
      </c>
      <c r="L104" s="74">
        <f>SUM(H104:K104)</f>
        <v>1</v>
      </c>
      <c r="N104" s="75">
        <f>H104*6+I104*12+J104*18+K104*24</f>
        <v>16.327868852459016</v>
      </c>
    </row>
    <row r="105" spans="1:14" s="8" customFormat="1" x14ac:dyDescent="0.25">
      <c r="A105" s="8" t="s">
        <v>99</v>
      </c>
      <c r="B105" s="2">
        <v>0</v>
      </c>
      <c r="C105" s="2">
        <v>3</v>
      </c>
      <c r="D105" s="2">
        <v>3</v>
      </c>
      <c r="E105" s="2">
        <v>0</v>
      </c>
      <c r="G105" s="19"/>
      <c r="H105" s="73">
        <f>B105/$B$6</f>
        <v>0</v>
      </c>
      <c r="I105" s="73">
        <f t="shared" ref="I105" si="70">C105/$B$6</f>
        <v>0.5</v>
      </c>
      <c r="J105" s="73">
        <f t="shared" ref="J105" si="71">D105/$B$6</f>
        <v>0.5</v>
      </c>
      <c r="K105" s="73">
        <f t="shared" ref="K105" si="72">E105/$B$6</f>
        <v>0</v>
      </c>
      <c r="L105" s="74">
        <f t="shared" ref="L105:L106" si="73">SUM(H105:K105)</f>
        <v>1</v>
      </c>
      <c r="N105" s="75">
        <f t="shared" ref="N105:N106" si="74">H105*6+I105*12+J105*18+K105*24</f>
        <v>15</v>
      </c>
    </row>
    <row r="106" spans="1:14" s="8" customFormat="1" x14ac:dyDescent="0.25">
      <c r="A106" s="8" t="s">
        <v>100</v>
      </c>
      <c r="B106" s="2">
        <v>5</v>
      </c>
      <c r="C106" s="2">
        <v>13</v>
      </c>
      <c r="D106" s="2">
        <v>0</v>
      </c>
      <c r="E106" s="2">
        <v>0</v>
      </c>
      <c r="G106" s="19"/>
      <c r="H106" s="73">
        <f>B106/$B$7</f>
        <v>0.27777777777777779</v>
      </c>
      <c r="I106" s="73">
        <f t="shared" ref="I106" si="75">C106/$B$7</f>
        <v>0.72222222222222221</v>
      </c>
      <c r="J106" s="73">
        <f t="shared" ref="J106" si="76">D106/$B$7</f>
        <v>0</v>
      </c>
      <c r="K106" s="73">
        <f t="shared" ref="K106" si="77">E106/$B$7</f>
        <v>0</v>
      </c>
      <c r="L106" s="74">
        <f t="shared" si="73"/>
        <v>1</v>
      </c>
      <c r="N106" s="75">
        <f t="shared" si="74"/>
        <v>10.333333333333332</v>
      </c>
    </row>
    <row r="107" spans="1:14" s="8" customFormat="1" x14ac:dyDescent="0.25">
      <c r="G107" s="19"/>
      <c r="H107" s="73"/>
      <c r="I107" s="73"/>
      <c r="J107" s="73"/>
      <c r="K107" s="73"/>
      <c r="L107" s="74"/>
      <c r="N107" s="77">
        <f>(SUM(B104:B106)*6+SUM(C104:C106)*12+SUM(D104:D106)*18+SUM(E104:E106)*24)/SUM(B104:E106)</f>
        <v>14.964705882352941</v>
      </c>
    </row>
    <row r="108" spans="1:14" s="8" customFormat="1" x14ac:dyDescent="0.25">
      <c r="G108" s="19"/>
      <c r="H108" s="19"/>
      <c r="I108" s="19"/>
      <c r="J108" s="19"/>
      <c r="K108" s="19"/>
      <c r="L108" s="19"/>
    </row>
    <row r="109" spans="1:14" s="8" customFormat="1" x14ac:dyDescent="0.25">
      <c r="A109" s="19" t="s">
        <v>106</v>
      </c>
      <c r="B109" s="19" t="s">
        <v>101</v>
      </c>
      <c r="C109" s="19" t="s">
        <v>102</v>
      </c>
      <c r="D109" s="19" t="s">
        <v>103</v>
      </c>
      <c r="E109" s="19" t="s">
        <v>104</v>
      </c>
      <c r="G109" s="19"/>
      <c r="H109" s="19" t="s">
        <v>101</v>
      </c>
      <c r="I109" s="19" t="s">
        <v>102</v>
      </c>
      <c r="J109" s="19" t="s">
        <v>103</v>
      </c>
      <c r="K109" s="19" t="s">
        <v>104</v>
      </c>
      <c r="L109" s="72" t="s">
        <v>105</v>
      </c>
    </row>
    <row r="110" spans="1:14" s="8" customFormat="1" x14ac:dyDescent="0.25">
      <c r="A110" s="8" t="s">
        <v>98</v>
      </c>
      <c r="B110" s="2">
        <v>0</v>
      </c>
      <c r="C110" s="2">
        <v>10</v>
      </c>
      <c r="D110" s="2">
        <v>29</v>
      </c>
      <c r="E110" s="2">
        <v>10</v>
      </c>
      <c r="G110" s="19"/>
      <c r="H110" s="73">
        <f>B110/$C$5</f>
        <v>0</v>
      </c>
      <c r="I110" s="73">
        <f t="shared" ref="I110" si="78">C110/$C$5</f>
        <v>0.20408163265306123</v>
      </c>
      <c r="J110" s="73">
        <f t="shared" ref="J110" si="79">D110/$C$5</f>
        <v>0.59183673469387754</v>
      </c>
      <c r="K110" s="73">
        <f t="shared" ref="K110" si="80">E110/$C$5</f>
        <v>0.20408163265306123</v>
      </c>
      <c r="L110" s="74">
        <f>SUM(H110:K110)</f>
        <v>1</v>
      </c>
      <c r="N110" s="75">
        <f t="shared" ref="N110:N111" si="81">H110*6+I110*12+J110*18+K110*24</f>
        <v>18</v>
      </c>
    </row>
    <row r="111" spans="1:14" s="8" customFormat="1" x14ac:dyDescent="0.25">
      <c r="A111" s="8" t="s">
        <v>99</v>
      </c>
      <c r="B111" s="2">
        <v>10</v>
      </c>
      <c r="C111" s="2">
        <v>19</v>
      </c>
      <c r="D111" s="2">
        <v>0</v>
      </c>
      <c r="E111" s="2">
        <v>0</v>
      </c>
      <c r="G111" s="19"/>
      <c r="H111" s="73">
        <f>B111/$C$6</f>
        <v>0.34482758620689657</v>
      </c>
      <c r="I111" s="73">
        <f t="shared" ref="I111" si="82">C111/$C$6</f>
        <v>0.65517241379310343</v>
      </c>
      <c r="J111" s="73">
        <f t="shared" ref="J111" si="83">D111/$C$6</f>
        <v>0</v>
      </c>
      <c r="K111" s="73">
        <f t="shared" ref="K111" si="84">E111/$C$6</f>
        <v>0</v>
      </c>
      <c r="L111" s="74">
        <f>SUM(H111:K111)</f>
        <v>1</v>
      </c>
      <c r="N111" s="75">
        <f t="shared" si="81"/>
        <v>9.931034482758621</v>
      </c>
    </row>
    <row r="112" spans="1:14" s="8" customFormat="1" x14ac:dyDescent="0.25">
      <c r="G112" s="19"/>
      <c r="H112" s="73"/>
      <c r="I112" s="73"/>
      <c r="J112" s="73"/>
      <c r="K112" s="73"/>
      <c r="L112" s="74"/>
      <c r="N112" s="77">
        <f>(SUM(B110:B111)*6+SUM(C110:C111)*12+SUM(D110:D111)*18+SUM(E110:E111)*24)/SUM(B110:E111)</f>
        <v>15</v>
      </c>
    </row>
    <row r="113" spans="1:14" s="8" customFormat="1" x14ac:dyDescent="0.25">
      <c r="B113" s="19"/>
      <c r="C113" s="19"/>
      <c r="D113" s="19"/>
      <c r="E113" s="19"/>
      <c r="F113" s="74"/>
      <c r="G113" s="19"/>
    </row>
    <row r="114" spans="1:14" s="8" customFormat="1" x14ac:dyDescent="0.25">
      <c r="A114" s="19" t="s">
        <v>107</v>
      </c>
      <c r="B114" s="19"/>
      <c r="C114" s="19"/>
      <c r="D114" s="19"/>
      <c r="E114" s="19"/>
      <c r="F114" s="19"/>
      <c r="G114" s="19"/>
    </row>
    <row r="115" spans="1:14" s="8" customFormat="1" x14ac:dyDescent="0.25">
      <c r="A115" s="19" t="s">
        <v>97</v>
      </c>
      <c r="B115" s="19" t="s">
        <v>101</v>
      </c>
      <c r="C115" s="19" t="s">
        <v>102</v>
      </c>
      <c r="D115" s="19" t="s">
        <v>103</v>
      </c>
      <c r="E115" s="19" t="s">
        <v>104</v>
      </c>
      <c r="F115" s="19"/>
      <c r="G115" s="19"/>
      <c r="H115" s="19" t="s">
        <v>101</v>
      </c>
      <c r="I115" s="19" t="s">
        <v>102</v>
      </c>
      <c r="J115" s="19" t="s">
        <v>103</v>
      </c>
      <c r="K115" s="19" t="s">
        <v>104</v>
      </c>
      <c r="L115" s="72" t="s">
        <v>105</v>
      </c>
    </row>
    <row r="116" spans="1:14" s="8" customFormat="1" x14ac:dyDescent="0.25">
      <c r="A116" s="8" t="s">
        <v>98</v>
      </c>
      <c r="B116" s="2">
        <v>0</v>
      </c>
      <c r="C116" s="2">
        <v>13</v>
      </c>
      <c r="D116" s="2">
        <v>26</v>
      </c>
      <c r="E116" s="2">
        <v>22</v>
      </c>
      <c r="F116" s="19"/>
      <c r="G116" s="19"/>
      <c r="H116" s="73">
        <f>B116/$B$5</f>
        <v>0</v>
      </c>
      <c r="I116" s="73">
        <f t="shared" ref="I116" si="85">C116/$B$5</f>
        <v>0.21311475409836064</v>
      </c>
      <c r="J116" s="73">
        <f t="shared" ref="J116" si="86">D116/$B$5</f>
        <v>0.42622950819672129</v>
      </c>
      <c r="K116" s="73">
        <f t="shared" ref="K116" si="87">E116/$B$5</f>
        <v>0.36065573770491804</v>
      </c>
      <c r="L116" s="74">
        <f>SUM(H116:K116)</f>
        <v>1</v>
      </c>
      <c r="N116" s="75">
        <f t="shared" ref="N116:N118" si="88">H116*6+I116*12+J116*18+K116*24</f>
        <v>18.885245901639344</v>
      </c>
    </row>
    <row r="117" spans="1:14" s="8" customFormat="1" x14ac:dyDescent="0.25">
      <c r="A117" s="8" t="s">
        <v>99</v>
      </c>
      <c r="B117" s="2">
        <v>0</v>
      </c>
      <c r="C117" s="2">
        <v>1</v>
      </c>
      <c r="D117" s="2">
        <v>3</v>
      </c>
      <c r="E117" s="2">
        <v>2</v>
      </c>
      <c r="F117" s="19"/>
      <c r="G117" s="19"/>
      <c r="H117" s="73">
        <f>B117/$B$6</f>
        <v>0</v>
      </c>
      <c r="I117" s="73">
        <f t="shared" ref="I117" si="89">C117/$B$6</f>
        <v>0.16666666666666666</v>
      </c>
      <c r="J117" s="73">
        <f t="shared" ref="J117" si="90">D117/$B$6</f>
        <v>0.5</v>
      </c>
      <c r="K117" s="73">
        <f t="shared" ref="K117" si="91">E117/$B$6</f>
        <v>0.33333333333333331</v>
      </c>
      <c r="L117" s="74">
        <f t="shared" ref="L117:L118" si="92">SUM(H117:K117)</f>
        <v>1</v>
      </c>
      <c r="N117" s="75">
        <f t="shared" si="88"/>
        <v>19</v>
      </c>
    </row>
    <row r="118" spans="1:14" s="8" customFormat="1" x14ac:dyDescent="0.25">
      <c r="A118" s="8" t="s">
        <v>100</v>
      </c>
      <c r="B118" s="2">
        <v>0</v>
      </c>
      <c r="C118" s="2">
        <v>10</v>
      </c>
      <c r="D118" s="2">
        <v>8</v>
      </c>
      <c r="E118" s="2">
        <v>0</v>
      </c>
      <c r="F118" s="19"/>
      <c r="G118" s="19"/>
      <c r="H118" s="73">
        <f>B118/$B$7</f>
        <v>0</v>
      </c>
      <c r="I118" s="73">
        <f t="shared" ref="I118" si="93">C118/$B$7</f>
        <v>0.55555555555555558</v>
      </c>
      <c r="J118" s="73">
        <f t="shared" ref="J118" si="94">D118/$B$7</f>
        <v>0.44444444444444442</v>
      </c>
      <c r="K118" s="73">
        <f t="shared" ref="K118" si="95">E118/$B$7</f>
        <v>0</v>
      </c>
      <c r="L118" s="74">
        <f t="shared" si="92"/>
        <v>1</v>
      </c>
      <c r="N118" s="75">
        <f t="shared" si="88"/>
        <v>14.666666666666668</v>
      </c>
    </row>
    <row r="119" spans="1:14" s="8" customFormat="1" x14ac:dyDescent="0.25">
      <c r="F119" s="19"/>
      <c r="G119" s="19"/>
      <c r="H119" s="73"/>
      <c r="I119" s="73"/>
      <c r="J119" s="73"/>
      <c r="K119" s="73"/>
      <c r="L119" s="74"/>
      <c r="N119" s="77">
        <f>(SUM(B116:B118)*6+SUM(C116:C118)*12+SUM(D116:D118)*18+SUM(E116:E118)*24)/SUM(B116:E118)</f>
        <v>18</v>
      </c>
    </row>
    <row r="120" spans="1:14" s="8" customFormat="1" x14ac:dyDescent="0.25">
      <c r="F120" s="19"/>
      <c r="G120" s="19"/>
      <c r="H120" s="19"/>
      <c r="I120" s="19"/>
      <c r="J120" s="19"/>
      <c r="K120" s="19"/>
      <c r="L120" s="19"/>
    </row>
    <row r="121" spans="1:14" s="8" customFormat="1" x14ac:dyDescent="0.25">
      <c r="A121" s="19" t="s">
        <v>106</v>
      </c>
      <c r="B121" s="19" t="s">
        <v>101</v>
      </c>
      <c r="C121" s="19" t="s">
        <v>102</v>
      </c>
      <c r="D121" s="19" t="s">
        <v>103</v>
      </c>
      <c r="E121" s="19" t="s">
        <v>104</v>
      </c>
      <c r="F121" s="19"/>
      <c r="G121" s="19"/>
      <c r="H121" s="19" t="s">
        <v>101</v>
      </c>
      <c r="I121" s="19" t="s">
        <v>102</v>
      </c>
      <c r="J121" s="19" t="s">
        <v>103</v>
      </c>
      <c r="K121" s="19" t="s">
        <v>104</v>
      </c>
      <c r="L121" s="72" t="s">
        <v>105</v>
      </c>
    </row>
    <row r="122" spans="1:14" s="8" customFormat="1" x14ac:dyDescent="0.25">
      <c r="A122" s="8" t="s">
        <v>98</v>
      </c>
      <c r="B122" s="2">
        <v>0</v>
      </c>
      <c r="C122" s="2">
        <v>5</v>
      </c>
      <c r="D122" s="2">
        <v>20</v>
      </c>
      <c r="E122" s="2">
        <v>24</v>
      </c>
      <c r="F122" s="19"/>
      <c r="G122" s="19"/>
      <c r="H122" s="73">
        <f>B122/$C$5</f>
        <v>0</v>
      </c>
      <c r="I122" s="73">
        <f t="shared" ref="I122" si="96">C122/$C$5</f>
        <v>0.10204081632653061</v>
      </c>
      <c r="J122" s="73">
        <f t="shared" ref="J122" si="97">D122/$C$5</f>
        <v>0.40816326530612246</v>
      </c>
      <c r="K122" s="73">
        <f t="shared" ref="K122" si="98">E122/$C$5</f>
        <v>0.48979591836734693</v>
      </c>
      <c r="L122" s="74">
        <f>SUM(H122:K122)</f>
        <v>1</v>
      </c>
      <c r="N122" s="75">
        <f t="shared" ref="N122:N123" si="99">H122*6+I122*12+J122*18+K122*24</f>
        <v>20.326530612244895</v>
      </c>
    </row>
    <row r="123" spans="1:14" s="8" customFormat="1" x14ac:dyDescent="0.25">
      <c r="A123" s="8" t="s">
        <v>99</v>
      </c>
      <c r="B123" s="2">
        <v>4</v>
      </c>
      <c r="C123" s="2">
        <v>11</v>
      </c>
      <c r="D123" s="2">
        <v>14</v>
      </c>
      <c r="E123" s="2">
        <v>0</v>
      </c>
      <c r="F123" s="19"/>
      <c r="G123" s="19"/>
      <c r="H123" s="73">
        <f>B123/$C$6</f>
        <v>0.13793103448275862</v>
      </c>
      <c r="I123" s="73">
        <f t="shared" ref="I123" si="100">C123/$C$6</f>
        <v>0.37931034482758619</v>
      </c>
      <c r="J123" s="73">
        <f t="shared" ref="J123" si="101">D123/$C$6</f>
        <v>0.48275862068965519</v>
      </c>
      <c r="K123" s="73">
        <f t="shared" ref="K123" si="102">E123/$C$6</f>
        <v>0</v>
      </c>
      <c r="L123" s="74">
        <f>SUM(H123:K123)</f>
        <v>1</v>
      </c>
      <c r="N123" s="75">
        <f t="shared" si="99"/>
        <v>14.068965517241379</v>
      </c>
    </row>
    <row r="124" spans="1:14" s="8" customFormat="1" x14ac:dyDescent="0.25">
      <c r="F124" s="19"/>
      <c r="G124" s="19"/>
      <c r="H124" s="73"/>
      <c r="I124" s="73"/>
      <c r="J124" s="73"/>
      <c r="K124" s="73"/>
      <c r="L124" s="74"/>
      <c r="N124" s="77">
        <f>(SUM(B122:B123)*6+SUM(C122:C123)*12+SUM(D122:D123)*18+SUM(E122:E123)*24)/SUM(B122:E123)</f>
        <v>18</v>
      </c>
    </row>
    <row r="125" spans="1:14" s="8" customFormat="1" x14ac:dyDescent="0.25">
      <c r="F125" s="19"/>
      <c r="G125" s="19"/>
      <c r="H125" s="73"/>
      <c r="I125" s="73"/>
      <c r="J125" s="73"/>
      <c r="K125" s="73"/>
      <c r="L125" s="74"/>
    </row>
    <row r="126" spans="1:14" s="8" customFormat="1" x14ac:dyDescent="0.25">
      <c r="A126" s="19" t="s">
        <v>108</v>
      </c>
      <c r="B126" s="2">
        <v>10</v>
      </c>
      <c r="F126" s="19"/>
      <c r="G126" s="19"/>
      <c r="H126" s="73"/>
      <c r="I126" s="73"/>
      <c r="J126" s="73"/>
      <c r="K126" s="73"/>
      <c r="L126" s="74"/>
    </row>
    <row r="127" spans="1:14" s="8" customFormat="1" x14ac:dyDescent="0.25">
      <c r="A127" s="19"/>
      <c r="F127" s="19"/>
      <c r="G127" s="19"/>
      <c r="H127" s="73"/>
      <c r="I127" s="73"/>
      <c r="J127" s="73"/>
      <c r="K127" s="73"/>
      <c r="L127" s="74"/>
    </row>
    <row r="128" spans="1:14" s="8" customFormat="1" x14ac:dyDescent="0.25">
      <c r="A128" s="19"/>
      <c r="B128" s="8" t="s">
        <v>1</v>
      </c>
      <c r="F128" s="19"/>
      <c r="G128" s="19"/>
      <c r="H128" s="73"/>
      <c r="I128" s="73"/>
      <c r="J128" s="73"/>
      <c r="K128" s="73"/>
      <c r="L128" s="74"/>
    </row>
    <row r="129" spans="1:21" s="8" customFormat="1" x14ac:dyDescent="0.25">
      <c r="A129" s="19" t="s">
        <v>127</v>
      </c>
      <c r="B129" s="8">
        <v>1</v>
      </c>
      <c r="C129" s="8">
        <v>2</v>
      </c>
      <c r="D129" s="8">
        <v>3</v>
      </c>
      <c r="E129" s="8">
        <v>4</v>
      </c>
      <c r="F129" s="8">
        <v>5</v>
      </c>
      <c r="G129" s="8">
        <v>6</v>
      </c>
      <c r="H129" s="8">
        <v>7</v>
      </c>
      <c r="I129" s="8">
        <v>8</v>
      </c>
      <c r="J129" s="8">
        <v>9</v>
      </c>
      <c r="K129" s="8">
        <v>10</v>
      </c>
      <c r="L129" s="8">
        <v>11</v>
      </c>
      <c r="M129" s="8">
        <v>12</v>
      </c>
      <c r="N129" s="8">
        <v>13</v>
      </c>
      <c r="O129" s="8">
        <v>14</v>
      </c>
      <c r="P129" s="8">
        <v>15</v>
      </c>
      <c r="Q129" s="8">
        <v>16</v>
      </c>
      <c r="R129" s="8">
        <v>17</v>
      </c>
      <c r="S129" s="8">
        <v>18</v>
      </c>
      <c r="T129" s="8">
        <v>19</v>
      </c>
      <c r="U129" s="8">
        <v>20</v>
      </c>
    </row>
    <row r="130" spans="1:21" s="8" customFormat="1" x14ac:dyDescent="0.25">
      <c r="A130" s="19" t="s">
        <v>97</v>
      </c>
      <c r="F130" s="19"/>
      <c r="G130" s="19"/>
      <c r="H130" s="73"/>
      <c r="I130" s="73"/>
      <c r="J130" s="73"/>
      <c r="K130" s="73"/>
      <c r="L130" s="74"/>
    </row>
    <row r="131" spans="1:21" s="8" customFormat="1" x14ac:dyDescent="0.25">
      <c r="A131" s="8" t="s">
        <v>98</v>
      </c>
      <c r="B131" s="75">
        <f>IF(B$129=1,$N104,IF(B$129&lt;=$B$126,$N104+(B$129-1)/($B$126-1)*($N116-$N104),IF(B$129&gt;$B$126,$N116,"ERROR")))</f>
        <v>16.327868852459016</v>
      </c>
      <c r="C131" s="75">
        <f t="shared" ref="C131:U133" si="103">IF(C$129=1,$N104,IF(C$129&lt;=$B$126,$N104+(C$129-1)/($B$126-1)*($N116-$N104),IF(C$129&gt;$B$126,$N116,"ERROR")))</f>
        <v>16.612021857923498</v>
      </c>
      <c r="D131" s="75">
        <f t="shared" si="103"/>
        <v>16.896174863387976</v>
      </c>
      <c r="E131" s="75">
        <f t="shared" si="103"/>
        <v>17.180327868852459</v>
      </c>
      <c r="F131" s="75">
        <f t="shared" si="103"/>
        <v>17.464480874316941</v>
      </c>
      <c r="G131" s="75">
        <f t="shared" si="103"/>
        <v>17.748633879781419</v>
      </c>
      <c r="H131" s="75">
        <f t="shared" si="103"/>
        <v>18.032786885245901</v>
      </c>
      <c r="I131" s="75">
        <f t="shared" si="103"/>
        <v>18.316939890710383</v>
      </c>
      <c r="J131" s="75">
        <f t="shared" si="103"/>
        <v>18.601092896174862</v>
      </c>
      <c r="K131" s="75">
        <f t="shared" si="103"/>
        <v>18.885245901639344</v>
      </c>
      <c r="L131" s="75">
        <f t="shared" si="103"/>
        <v>18.885245901639344</v>
      </c>
      <c r="M131" s="75">
        <f t="shared" si="103"/>
        <v>18.885245901639344</v>
      </c>
      <c r="N131" s="75">
        <f t="shared" si="103"/>
        <v>18.885245901639344</v>
      </c>
      <c r="O131" s="75">
        <f t="shared" si="103"/>
        <v>18.885245901639344</v>
      </c>
      <c r="P131" s="75">
        <f t="shared" si="103"/>
        <v>18.885245901639344</v>
      </c>
      <c r="Q131" s="75">
        <f t="shared" si="103"/>
        <v>18.885245901639344</v>
      </c>
      <c r="R131" s="75">
        <f t="shared" si="103"/>
        <v>18.885245901639344</v>
      </c>
      <c r="S131" s="75">
        <f t="shared" si="103"/>
        <v>18.885245901639344</v>
      </c>
      <c r="T131" s="75">
        <f t="shared" si="103"/>
        <v>18.885245901639344</v>
      </c>
      <c r="U131" s="75">
        <f t="shared" si="103"/>
        <v>18.885245901639344</v>
      </c>
    </row>
    <row r="132" spans="1:21" s="8" customFormat="1" x14ac:dyDescent="0.25">
      <c r="A132" s="8" t="s">
        <v>99</v>
      </c>
      <c r="B132" s="75">
        <f t="shared" ref="B132:Q133" si="104">IF(B$129=1,$N105,IF(B$129&lt;=$B$126,$N105+(B$129-1)/($B$126-1)*($N117-$N105),IF(B$129&gt;$B$126,$N117,"ERROR")))</f>
        <v>15</v>
      </c>
      <c r="C132" s="75">
        <f t="shared" si="104"/>
        <v>15.444444444444445</v>
      </c>
      <c r="D132" s="75">
        <f t="shared" si="104"/>
        <v>15.888888888888889</v>
      </c>
      <c r="E132" s="75">
        <f t="shared" si="104"/>
        <v>16.333333333333332</v>
      </c>
      <c r="F132" s="75">
        <f t="shared" si="104"/>
        <v>16.777777777777779</v>
      </c>
      <c r="G132" s="75">
        <f t="shared" si="104"/>
        <v>17.222222222222221</v>
      </c>
      <c r="H132" s="75">
        <f t="shared" si="104"/>
        <v>17.666666666666668</v>
      </c>
      <c r="I132" s="75">
        <f t="shared" si="104"/>
        <v>18.111111111111111</v>
      </c>
      <c r="J132" s="75">
        <f t="shared" si="104"/>
        <v>18.555555555555557</v>
      </c>
      <c r="K132" s="75">
        <f t="shared" si="104"/>
        <v>19</v>
      </c>
      <c r="L132" s="75">
        <f t="shared" si="104"/>
        <v>19</v>
      </c>
      <c r="M132" s="75">
        <f t="shared" si="104"/>
        <v>19</v>
      </c>
      <c r="N132" s="75">
        <f t="shared" si="104"/>
        <v>19</v>
      </c>
      <c r="O132" s="75">
        <f t="shared" si="104"/>
        <v>19</v>
      </c>
      <c r="P132" s="75">
        <f t="shared" si="104"/>
        <v>19</v>
      </c>
      <c r="Q132" s="75">
        <f t="shared" si="104"/>
        <v>19</v>
      </c>
      <c r="R132" s="75">
        <f t="shared" si="103"/>
        <v>19</v>
      </c>
      <c r="S132" s="75">
        <f t="shared" si="103"/>
        <v>19</v>
      </c>
      <c r="T132" s="75">
        <f t="shared" si="103"/>
        <v>19</v>
      </c>
      <c r="U132" s="75">
        <f t="shared" si="103"/>
        <v>19</v>
      </c>
    </row>
    <row r="133" spans="1:21" s="8" customFormat="1" x14ac:dyDescent="0.25">
      <c r="A133" s="8" t="s">
        <v>100</v>
      </c>
      <c r="B133" s="75">
        <f t="shared" si="104"/>
        <v>10.333333333333332</v>
      </c>
      <c r="C133" s="75">
        <f t="shared" si="103"/>
        <v>10.814814814814813</v>
      </c>
      <c r="D133" s="75">
        <f t="shared" si="103"/>
        <v>11.296296296296296</v>
      </c>
      <c r="E133" s="75">
        <f t="shared" si="103"/>
        <v>11.777777777777777</v>
      </c>
      <c r="F133" s="75">
        <f t="shared" si="103"/>
        <v>12.25925925925926</v>
      </c>
      <c r="G133" s="75">
        <f t="shared" si="103"/>
        <v>12.74074074074074</v>
      </c>
      <c r="H133" s="75">
        <f t="shared" si="103"/>
        <v>13.222222222222221</v>
      </c>
      <c r="I133" s="75">
        <f t="shared" si="103"/>
        <v>13.703703703703704</v>
      </c>
      <c r="J133" s="75">
        <f t="shared" si="103"/>
        <v>14.185185185185187</v>
      </c>
      <c r="K133" s="75">
        <f t="shared" si="103"/>
        <v>14.666666666666668</v>
      </c>
      <c r="L133" s="75">
        <f t="shared" si="103"/>
        <v>14.666666666666668</v>
      </c>
      <c r="M133" s="75">
        <f t="shared" si="103"/>
        <v>14.666666666666668</v>
      </c>
      <c r="N133" s="75">
        <f t="shared" si="103"/>
        <v>14.666666666666668</v>
      </c>
      <c r="O133" s="75">
        <f t="shared" si="103"/>
        <v>14.666666666666668</v>
      </c>
      <c r="P133" s="75">
        <f t="shared" si="103"/>
        <v>14.666666666666668</v>
      </c>
      <c r="Q133" s="75">
        <f t="shared" si="103"/>
        <v>14.666666666666668</v>
      </c>
      <c r="R133" s="75">
        <f t="shared" si="103"/>
        <v>14.666666666666668</v>
      </c>
      <c r="S133" s="75">
        <f t="shared" si="103"/>
        <v>14.666666666666668</v>
      </c>
      <c r="T133" s="75">
        <f t="shared" si="103"/>
        <v>14.666666666666668</v>
      </c>
      <c r="U133" s="75">
        <f t="shared" si="103"/>
        <v>14.666666666666668</v>
      </c>
    </row>
    <row r="134" spans="1:21" s="8" customFormat="1" x14ac:dyDescent="0.25">
      <c r="A134" s="19"/>
      <c r="B134" s="75"/>
      <c r="F134" s="19"/>
      <c r="G134" s="19"/>
      <c r="H134" s="73"/>
      <c r="I134" s="73"/>
      <c r="J134" s="73"/>
      <c r="K134" s="73"/>
      <c r="L134" s="74"/>
    </row>
    <row r="135" spans="1:21" s="8" customFormat="1" x14ac:dyDescent="0.25">
      <c r="A135" s="19" t="s">
        <v>106</v>
      </c>
      <c r="B135" s="75"/>
      <c r="F135" s="19"/>
      <c r="G135" s="19"/>
      <c r="H135" s="73"/>
      <c r="I135" s="73"/>
      <c r="J135" s="73"/>
      <c r="K135" s="73"/>
      <c r="L135" s="74"/>
    </row>
    <row r="136" spans="1:21" s="8" customFormat="1" x14ac:dyDescent="0.25">
      <c r="A136" s="8" t="s">
        <v>98</v>
      </c>
      <c r="B136" s="75">
        <f>IF(B$129=1,$N110,IF(B$129&lt;=$B$126,$N110+(B$129-1)/($B$126-1)*($N122-$N110),IF(B$129&gt;$B$126,$N122,"ERROR")))</f>
        <v>18</v>
      </c>
      <c r="C136" s="75">
        <f t="shared" ref="C136:U136" si="105">IF(C$129=1,$N110,IF(C$129&lt;=$B$126,$N110+(C$129-1)/($B$126-1)*($N122-$N110),IF(C$129&gt;$B$126,$N122,"ERROR")))</f>
        <v>18.258503401360542</v>
      </c>
      <c r="D136" s="75">
        <f t="shared" si="105"/>
        <v>18.517006802721088</v>
      </c>
      <c r="E136" s="75">
        <f t="shared" si="105"/>
        <v>18.77551020408163</v>
      </c>
      <c r="F136" s="75">
        <f t="shared" si="105"/>
        <v>19.034013605442176</v>
      </c>
      <c r="G136" s="75">
        <f t="shared" si="105"/>
        <v>19.292517006802719</v>
      </c>
      <c r="H136" s="75">
        <f t="shared" si="105"/>
        <v>19.551020408163264</v>
      </c>
      <c r="I136" s="75">
        <f t="shared" si="105"/>
        <v>19.809523809523807</v>
      </c>
      <c r="J136" s="75">
        <f t="shared" si="105"/>
        <v>20.068027210884352</v>
      </c>
      <c r="K136" s="75">
        <f t="shared" si="105"/>
        <v>20.326530612244895</v>
      </c>
      <c r="L136" s="75">
        <f t="shared" si="105"/>
        <v>20.326530612244895</v>
      </c>
      <c r="M136" s="75">
        <f t="shared" si="105"/>
        <v>20.326530612244895</v>
      </c>
      <c r="N136" s="75">
        <f t="shared" si="105"/>
        <v>20.326530612244895</v>
      </c>
      <c r="O136" s="75">
        <f t="shared" si="105"/>
        <v>20.326530612244895</v>
      </c>
      <c r="P136" s="75">
        <f t="shared" si="105"/>
        <v>20.326530612244895</v>
      </c>
      <c r="Q136" s="75">
        <f t="shared" si="105"/>
        <v>20.326530612244895</v>
      </c>
      <c r="R136" s="75">
        <f t="shared" si="105"/>
        <v>20.326530612244895</v>
      </c>
      <c r="S136" s="75">
        <f t="shared" si="105"/>
        <v>20.326530612244895</v>
      </c>
      <c r="T136" s="75">
        <f t="shared" si="105"/>
        <v>20.326530612244895</v>
      </c>
      <c r="U136" s="75">
        <f t="shared" si="105"/>
        <v>20.326530612244895</v>
      </c>
    </row>
    <row r="137" spans="1:21" s="8" customFormat="1" x14ac:dyDescent="0.25">
      <c r="A137" s="8" t="s">
        <v>99</v>
      </c>
      <c r="B137" s="75">
        <f>IF(B$129=1,$N111,IF(B$129&lt;=$B$126,$N111+(B$129-1)/($B$126-1)*($N123-$N111),IF(B$129&gt;$B$126,$N123,"ERROR")))</f>
        <v>9.931034482758621</v>
      </c>
      <c r="C137" s="75">
        <f t="shared" ref="C137:U137" si="106">IF(C$129=1,$N111,IF(C$129&lt;=$B$126,$N111+(C$129-1)/($B$126-1)*($N123-$N111),IF(C$129&gt;$B$126,$N123,"ERROR")))</f>
        <v>10.39080459770115</v>
      </c>
      <c r="D137" s="75">
        <f t="shared" si="106"/>
        <v>10.850574712643677</v>
      </c>
      <c r="E137" s="75">
        <f t="shared" si="106"/>
        <v>11.310344827586206</v>
      </c>
      <c r="F137" s="75">
        <f t="shared" si="106"/>
        <v>11.770114942528735</v>
      </c>
      <c r="G137" s="75">
        <f t="shared" si="106"/>
        <v>12.229885057471265</v>
      </c>
      <c r="H137" s="75">
        <f t="shared" si="106"/>
        <v>12.689655172413794</v>
      </c>
      <c r="I137" s="75">
        <f t="shared" si="106"/>
        <v>13.149425287356323</v>
      </c>
      <c r="J137" s="75">
        <f t="shared" si="106"/>
        <v>13.60919540229885</v>
      </c>
      <c r="K137" s="75">
        <f t="shared" si="106"/>
        <v>14.068965517241379</v>
      </c>
      <c r="L137" s="75">
        <f t="shared" si="106"/>
        <v>14.068965517241379</v>
      </c>
      <c r="M137" s="75">
        <f t="shared" si="106"/>
        <v>14.068965517241379</v>
      </c>
      <c r="N137" s="75">
        <f t="shared" si="106"/>
        <v>14.068965517241379</v>
      </c>
      <c r="O137" s="75">
        <f t="shared" si="106"/>
        <v>14.068965517241379</v>
      </c>
      <c r="P137" s="75">
        <f t="shared" si="106"/>
        <v>14.068965517241379</v>
      </c>
      <c r="Q137" s="75">
        <f t="shared" si="106"/>
        <v>14.068965517241379</v>
      </c>
      <c r="R137" s="75">
        <f t="shared" si="106"/>
        <v>14.068965517241379</v>
      </c>
      <c r="S137" s="75">
        <f t="shared" si="106"/>
        <v>14.068965517241379</v>
      </c>
      <c r="T137" s="75">
        <f t="shared" si="106"/>
        <v>14.068965517241379</v>
      </c>
      <c r="U137" s="75">
        <f t="shared" si="106"/>
        <v>14.068965517241379</v>
      </c>
    </row>
    <row r="138" spans="1:21" s="8" customFormat="1" x14ac:dyDescent="0.25">
      <c r="A138" s="19"/>
      <c r="F138" s="19"/>
      <c r="G138" s="19"/>
      <c r="H138" s="73"/>
      <c r="I138" s="73"/>
      <c r="J138" s="73"/>
      <c r="K138" s="73"/>
      <c r="L138" s="74"/>
    </row>
    <row r="139" spans="1:21" x14ac:dyDescent="0.25">
      <c r="A139" s="46" t="s">
        <v>74</v>
      </c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</row>
    <row r="141" spans="1:21" x14ac:dyDescent="0.25">
      <c r="A141" s="5" t="s">
        <v>73</v>
      </c>
      <c r="B141" s="8">
        <f>'Benefits_freq chng_ex DUML'!B58</f>
        <v>174</v>
      </c>
    </row>
    <row r="142" spans="1:21" x14ac:dyDescent="0.25">
      <c r="A142" s="5" t="s">
        <v>35</v>
      </c>
      <c r="B142" s="8">
        <f>'Benefits_freq chng_ex DUML'!B59</f>
        <v>120</v>
      </c>
    </row>
    <row r="143" spans="1:21" x14ac:dyDescent="0.25">
      <c r="A143" s="5" t="s">
        <v>36</v>
      </c>
      <c r="B143" s="8">
        <f>'Benefits_freq chng_ex DUML'!B60</f>
        <v>1063</v>
      </c>
    </row>
    <row r="144" spans="1:21" x14ac:dyDescent="0.25">
      <c r="A144" s="5" t="s">
        <v>37</v>
      </c>
      <c r="B144" s="8">
        <f>'Benefits_freq chng_ex DUML'!B61</f>
        <v>768</v>
      </c>
    </row>
    <row r="145" spans="1:4" x14ac:dyDescent="0.25">
      <c r="A145" s="5" t="s">
        <v>38</v>
      </c>
      <c r="B145" s="8">
        <f>'Benefits_freq chng_ex DUML'!B62</f>
        <v>3528</v>
      </c>
    </row>
    <row r="146" spans="1:4" x14ac:dyDescent="0.25">
      <c r="A146" s="5" t="s">
        <v>39</v>
      </c>
      <c r="B146" s="8">
        <f>'Benefits_freq chng_ex DUML'!B63</f>
        <v>80</v>
      </c>
    </row>
    <row r="147" spans="1:4" x14ac:dyDescent="0.25">
      <c r="A147" t="s">
        <v>34</v>
      </c>
    </row>
    <row r="149" spans="1:4" x14ac:dyDescent="0.25">
      <c r="B149" s="103" t="s">
        <v>4</v>
      </c>
    </row>
    <row r="150" spans="1:4" x14ac:dyDescent="0.25">
      <c r="A150" s="5" t="s">
        <v>40</v>
      </c>
      <c r="B150" s="71">
        <f>B142+(B143*B146)/1000+B144+(B145*B146)/1000</f>
        <v>1255.28</v>
      </c>
    </row>
    <row r="151" spans="1:4" x14ac:dyDescent="0.25">
      <c r="B151" s="103" t="s">
        <v>42</v>
      </c>
    </row>
    <row r="152" spans="1:4" x14ac:dyDescent="0.25">
      <c r="A152" s="5" t="s">
        <v>112</v>
      </c>
      <c r="B152" s="18">
        <f>B150/B141*1000</f>
        <v>7214.2528735632186</v>
      </c>
    </row>
    <row r="154" spans="1:4" x14ac:dyDescent="0.25">
      <c r="A154" s="5" t="s">
        <v>67</v>
      </c>
    </row>
    <row r="155" spans="1:4" x14ac:dyDescent="0.25">
      <c r="A155" s="5" t="s">
        <v>28</v>
      </c>
      <c r="B155" s="8">
        <f>'Benefits_freq chng_ex DUML'!B72</f>
        <v>0.3</v>
      </c>
    </row>
    <row r="156" spans="1:4" x14ac:dyDescent="0.25">
      <c r="A156" s="5" t="s">
        <v>43</v>
      </c>
      <c r="B156" s="8">
        <v>1</v>
      </c>
    </row>
    <row r="157" spans="1:4" x14ac:dyDescent="0.25">
      <c r="A157" s="5" t="s">
        <v>30</v>
      </c>
      <c r="B157" s="8">
        <f>'Benefits_freq chng_ex DUML'!B74</f>
        <v>1.6</v>
      </c>
    </row>
    <row r="159" spans="1:4" x14ac:dyDescent="0.25">
      <c r="A159" s="5" t="s">
        <v>113</v>
      </c>
      <c r="B159" s="70"/>
      <c r="C159" s="70"/>
      <c r="D159" s="70"/>
    </row>
    <row r="160" spans="1:4" x14ac:dyDescent="0.25">
      <c r="A160" s="5" t="s">
        <v>28</v>
      </c>
      <c r="B160" s="18">
        <f>$B$152*($B155/($B$155*$J$12+$B$156*$J$13+$B$157*$J$14))</f>
        <v>3329.655172413793</v>
      </c>
      <c r="C160" s="18"/>
      <c r="D160" s="18"/>
    </row>
    <row r="161" spans="1:21" x14ac:dyDescent="0.25">
      <c r="A161" s="5" t="s">
        <v>43</v>
      </c>
      <c r="B161" s="18">
        <f>$B$152*($B156/($B$155*$J$12+$B$156*$J$13+$B$157*$J$14))</f>
        <v>11098.850574712644</v>
      </c>
      <c r="C161" s="18"/>
      <c r="D161" s="18"/>
    </row>
    <row r="162" spans="1:21" x14ac:dyDescent="0.25">
      <c r="A162" s="5" t="s">
        <v>30</v>
      </c>
      <c r="B162" s="18">
        <f>$B$152*($B157/($B$155*$J$12+$B$156*$J$13+$B$157*$J$14))</f>
        <v>17758.160919540231</v>
      </c>
      <c r="C162" s="18"/>
      <c r="D162" s="18"/>
    </row>
    <row r="164" spans="1:21" x14ac:dyDescent="0.25">
      <c r="A164" s="26" t="s">
        <v>114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26" t="s">
        <v>115</v>
      </c>
      <c r="B165" s="26"/>
      <c r="C165" s="28"/>
      <c r="D165" s="28"/>
      <c r="E165" s="28"/>
      <c r="F165" s="28"/>
      <c r="G165" s="29"/>
      <c r="H165" s="28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26"/>
      <c r="B166" s="26" t="s">
        <v>1</v>
      </c>
      <c r="C166" s="28"/>
      <c r="D166" s="28"/>
      <c r="E166" s="28"/>
      <c r="F166" s="28"/>
      <c r="G166" s="29"/>
      <c r="H166" s="28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26" t="s">
        <v>117</v>
      </c>
      <c r="B167" s="26">
        <v>1</v>
      </c>
      <c r="C167" s="26">
        <v>2</v>
      </c>
      <c r="D167" s="26">
        <v>3</v>
      </c>
      <c r="E167" s="26">
        <v>4</v>
      </c>
      <c r="F167" s="26">
        <v>5</v>
      </c>
      <c r="G167" s="26">
        <v>6</v>
      </c>
      <c r="H167" s="26">
        <v>7</v>
      </c>
      <c r="I167" s="26">
        <v>8</v>
      </c>
      <c r="J167" s="26">
        <v>9</v>
      </c>
      <c r="K167" s="26">
        <v>10</v>
      </c>
      <c r="L167" s="26">
        <v>11</v>
      </c>
      <c r="M167" s="26">
        <v>12</v>
      </c>
      <c r="N167" s="26">
        <v>13</v>
      </c>
      <c r="O167" s="26">
        <v>14</v>
      </c>
      <c r="P167" s="26">
        <v>15</v>
      </c>
      <c r="Q167" s="26">
        <v>16</v>
      </c>
      <c r="R167" s="26">
        <v>17</v>
      </c>
      <c r="S167" s="26">
        <v>18</v>
      </c>
      <c r="T167" s="26">
        <v>19</v>
      </c>
      <c r="U167" s="26">
        <v>20</v>
      </c>
    </row>
    <row r="168" spans="1:21" x14ac:dyDescent="0.25">
      <c r="A168" s="26" t="s">
        <v>28</v>
      </c>
      <c r="B168" s="28">
        <f t="shared" ref="B168:U168" si="107">($B5/$J$10*$B$141)*$B160/1000</f>
        <v>168.29028571428572</v>
      </c>
      <c r="C168" s="28">
        <f t="shared" si="107"/>
        <v>168.29028571428572</v>
      </c>
      <c r="D168" s="28">
        <f t="shared" si="107"/>
        <v>168.29028571428572</v>
      </c>
      <c r="E168" s="28">
        <f t="shared" si="107"/>
        <v>168.29028571428572</v>
      </c>
      <c r="F168" s="28">
        <f t="shared" si="107"/>
        <v>168.29028571428572</v>
      </c>
      <c r="G168" s="28">
        <f t="shared" si="107"/>
        <v>168.29028571428572</v>
      </c>
      <c r="H168" s="28">
        <f t="shared" si="107"/>
        <v>168.29028571428572</v>
      </c>
      <c r="I168" s="28">
        <f t="shared" si="107"/>
        <v>168.29028571428572</v>
      </c>
      <c r="J168" s="28">
        <f t="shared" si="107"/>
        <v>168.29028571428572</v>
      </c>
      <c r="K168" s="28">
        <f t="shared" si="107"/>
        <v>168.29028571428572</v>
      </c>
      <c r="L168" s="28">
        <f t="shared" si="107"/>
        <v>168.29028571428572</v>
      </c>
      <c r="M168" s="28">
        <f t="shared" si="107"/>
        <v>168.29028571428572</v>
      </c>
      <c r="N168" s="28">
        <f t="shared" si="107"/>
        <v>168.29028571428572</v>
      </c>
      <c r="O168" s="28">
        <f t="shared" si="107"/>
        <v>168.29028571428572</v>
      </c>
      <c r="P168" s="28">
        <f t="shared" si="107"/>
        <v>168.29028571428572</v>
      </c>
      <c r="Q168" s="28">
        <f t="shared" si="107"/>
        <v>168.29028571428572</v>
      </c>
      <c r="R168" s="28">
        <f t="shared" si="107"/>
        <v>168.29028571428572</v>
      </c>
      <c r="S168" s="28">
        <f t="shared" si="107"/>
        <v>168.29028571428572</v>
      </c>
      <c r="T168" s="28">
        <f t="shared" si="107"/>
        <v>168.29028571428572</v>
      </c>
      <c r="U168" s="28">
        <f t="shared" si="107"/>
        <v>168.29028571428572</v>
      </c>
    </row>
    <row r="169" spans="1:21" x14ac:dyDescent="0.25">
      <c r="A169" s="26" t="s">
        <v>29</v>
      </c>
      <c r="B169" s="28">
        <f t="shared" ref="B169:U169" si="108">($B6/$J$10*$B$141)*$B161/1000</f>
        <v>55.177142857142854</v>
      </c>
      <c r="C169" s="28">
        <f t="shared" si="108"/>
        <v>55.177142857142854</v>
      </c>
      <c r="D169" s="28">
        <f t="shared" si="108"/>
        <v>55.177142857142854</v>
      </c>
      <c r="E169" s="28">
        <f t="shared" si="108"/>
        <v>55.177142857142854</v>
      </c>
      <c r="F169" s="28">
        <f t="shared" si="108"/>
        <v>55.177142857142854</v>
      </c>
      <c r="G169" s="28">
        <f t="shared" si="108"/>
        <v>55.177142857142854</v>
      </c>
      <c r="H169" s="28">
        <f t="shared" si="108"/>
        <v>55.177142857142854</v>
      </c>
      <c r="I169" s="28">
        <f t="shared" si="108"/>
        <v>55.177142857142854</v>
      </c>
      <c r="J169" s="28">
        <f t="shared" si="108"/>
        <v>55.177142857142854</v>
      </c>
      <c r="K169" s="28">
        <f t="shared" si="108"/>
        <v>55.177142857142854</v>
      </c>
      <c r="L169" s="28">
        <f t="shared" si="108"/>
        <v>55.177142857142854</v>
      </c>
      <c r="M169" s="28">
        <f t="shared" si="108"/>
        <v>55.177142857142854</v>
      </c>
      <c r="N169" s="28">
        <f t="shared" si="108"/>
        <v>55.177142857142854</v>
      </c>
      <c r="O169" s="28">
        <f t="shared" si="108"/>
        <v>55.177142857142854</v>
      </c>
      <c r="P169" s="28">
        <f t="shared" si="108"/>
        <v>55.177142857142854</v>
      </c>
      <c r="Q169" s="28">
        <f t="shared" si="108"/>
        <v>55.177142857142854</v>
      </c>
      <c r="R169" s="28">
        <f t="shared" si="108"/>
        <v>55.177142857142854</v>
      </c>
      <c r="S169" s="28">
        <f t="shared" si="108"/>
        <v>55.177142857142854</v>
      </c>
      <c r="T169" s="28">
        <f t="shared" si="108"/>
        <v>55.177142857142854</v>
      </c>
      <c r="U169" s="28">
        <f t="shared" si="108"/>
        <v>55.177142857142854</v>
      </c>
    </row>
    <row r="170" spans="1:21" x14ac:dyDescent="0.25">
      <c r="A170" s="26" t="s">
        <v>30</v>
      </c>
      <c r="B170" s="28">
        <f t="shared" ref="B170:U170" si="109">($B7/$J$10*$B$141)*$B162/1000</f>
        <v>264.85028571428575</v>
      </c>
      <c r="C170" s="28">
        <f t="shared" si="109"/>
        <v>264.85028571428575</v>
      </c>
      <c r="D170" s="28">
        <f t="shared" si="109"/>
        <v>264.85028571428575</v>
      </c>
      <c r="E170" s="28">
        <f t="shared" si="109"/>
        <v>264.85028571428575</v>
      </c>
      <c r="F170" s="28">
        <f t="shared" si="109"/>
        <v>264.85028571428575</v>
      </c>
      <c r="G170" s="28">
        <f t="shared" si="109"/>
        <v>264.85028571428575</v>
      </c>
      <c r="H170" s="28">
        <f t="shared" si="109"/>
        <v>264.85028571428575</v>
      </c>
      <c r="I170" s="28">
        <f t="shared" si="109"/>
        <v>264.85028571428575</v>
      </c>
      <c r="J170" s="28">
        <f t="shared" si="109"/>
        <v>264.85028571428575</v>
      </c>
      <c r="K170" s="28">
        <f t="shared" si="109"/>
        <v>264.85028571428575</v>
      </c>
      <c r="L170" s="28">
        <f t="shared" si="109"/>
        <v>264.85028571428575</v>
      </c>
      <c r="M170" s="28">
        <f t="shared" si="109"/>
        <v>264.85028571428575</v>
      </c>
      <c r="N170" s="28">
        <f t="shared" si="109"/>
        <v>264.85028571428575</v>
      </c>
      <c r="O170" s="28">
        <f t="shared" si="109"/>
        <v>264.85028571428575</v>
      </c>
      <c r="P170" s="28">
        <f t="shared" si="109"/>
        <v>264.85028571428575</v>
      </c>
      <c r="Q170" s="28">
        <f t="shared" si="109"/>
        <v>264.85028571428575</v>
      </c>
      <c r="R170" s="28">
        <f t="shared" si="109"/>
        <v>264.85028571428575</v>
      </c>
      <c r="S170" s="28">
        <f t="shared" si="109"/>
        <v>264.85028571428575</v>
      </c>
      <c r="T170" s="28">
        <f t="shared" si="109"/>
        <v>264.85028571428575</v>
      </c>
      <c r="U170" s="28">
        <f t="shared" si="109"/>
        <v>264.85028571428575</v>
      </c>
    </row>
    <row r="171" spans="1:21" x14ac:dyDescent="0.25">
      <c r="A171" s="26"/>
      <c r="B171" s="26"/>
      <c r="C171" s="28"/>
      <c r="D171" s="28"/>
      <c r="E171" s="28"/>
      <c r="F171" s="28"/>
      <c r="G171" s="29"/>
      <c r="H171" s="28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26"/>
      <c r="B172" s="26" t="s">
        <v>1</v>
      </c>
      <c r="C172" s="26"/>
      <c r="D172" s="28"/>
      <c r="E172" s="28"/>
      <c r="F172" s="28"/>
      <c r="G172" s="29"/>
      <c r="H172" s="28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26" t="s">
        <v>20</v>
      </c>
      <c r="B173" s="26">
        <v>1</v>
      </c>
      <c r="C173" s="26">
        <v>2</v>
      </c>
      <c r="D173" s="26">
        <v>3</v>
      </c>
      <c r="E173" s="26">
        <v>4</v>
      </c>
      <c r="F173" s="26">
        <v>5</v>
      </c>
      <c r="G173" s="26">
        <v>6</v>
      </c>
      <c r="H173" s="26">
        <v>7</v>
      </c>
      <c r="I173" s="26">
        <v>8</v>
      </c>
      <c r="J173" s="26">
        <v>9</v>
      </c>
      <c r="K173" s="26">
        <v>10</v>
      </c>
      <c r="L173" s="26">
        <v>11</v>
      </c>
      <c r="M173" s="26">
        <v>12</v>
      </c>
      <c r="N173" s="26">
        <v>13</v>
      </c>
      <c r="O173" s="26">
        <v>14</v>
      </c>
      <c r="P173" s="26">
        <v>15</v>
      </c>
      <c r="Q173" s="26">
        <v>16</v>
      </c>
      <c r="R173" s="26">
        <v>17</v>
      </c>
      <c r="S173" s="26">
        <v>18</v>
      </c>
      <c r="T173" s="26">
        <v>19</v>
      </c>
      <c r="U173" s="26">
        <v>20</v>
      </c>
    </row>
    <row r="174" spans="1:21" x14ac:dyDescent="0.25">
      <c r="A174" s="26" t="s">
        <v>28</v>
      </c>
      <c r="B174" s="28">
        <f t="shared" ref="B174:U174" si="110">($C5/$J$10*$B$141)*$B160/1000</f>
        <v>135.184</v>
      </c>
      <c r="C174" s="28">
        <f t="shared" si="110"/>
        <v>135.184</v>
      </c>
      <c r="D174" s="28">
        <f t="shared" si="110"/>
        <v>135.184</v>
      </c>
      <c r="E174" s="28">
        <f t="shared" si="110"/>
        <v>135.184</v>
      </c>
      <c r="F174" s="28">
        <f t="shared" si="110"/>
        <v>135.184</v>
      </c>
      <c r="G174" s="28">
        <f t="shared" si="110"/>
        <v>135.184</v>
      </c>
      <c r="H174" s="28">
        <f t="shared" si="110"/>
        <v>135.184</v>
      </c>
      <c r="I174" s="28">
        <f t="shared" si="110"/>
        <v>135.184</v>
      </c>
      <c r="J174" s="28">
        <f t="shared" si="110"/>
        <v>135.184</v>
      </c>
      <c r="K174" s="28">
        <f t="shared" si="110"/>
        <v>135.184</v>
      </c>
      <c r="L174" s="28">
        <f t="shared" si="110"/>
        <v>135.184</v>
      </c>
      <c r="M174" s="28">
        <f t="shared" si="110"/>
        <v>135.184</v>
      </c>
      <c r="N174" s="28">
        <f t="shared" si="110"/>
        <v>135.184</v>
      </c>
      <c r="O174" s="28">
        <f t="shared" si="110"/>
        <v>135.184</v>
      </c>
      <c r="P174" s="28">
        <f t="shared" si="110"/>
        <v>135.184</v>
      </c>
      <c r="Q174" s="28">
        <f t="shared" si="110"/>
        <v>135.184</v>
      </c>
      <c r="R174" s="28">
        <f t="shared" si="110"/>
        <v>135.184</v>
      </c>
      <c r="S174" s="28">
        <f t="shared" si="110"/>
        <v>135.184</v>
      </c>
      <c r="T174" s="28">
        <f t="shared" si="110"/>
        <v>135.184</v>
      </c>
      <c r="U174" s="28">
        <f t="shared" si="110"/>
        <v>135.184</v>
      </c>
    </row>
    <row r="175" spans="1:21" x14ac:dyDescent="0.25">
      <c r="A175" s="26" t="s">
        <v>29</v>
      </c>
      <c r="B175" s="28">
        <f t="shared" ref="B175:U175" si="111">($C6/$J$10*$B$141)*$B161/1000</f>
        <v>266.68952380952379</v>
      </c>
      <c r="C175" s="28">
        <f t="shared" si="111"/>
        <v>266.68952380952379</v>
      </c>
      <c r="D175" s="28">
        <f t="shared" si="111"/>
        <v>266.68952380952379</v>
      </c>
      <c r="E175" s="28">
        <f t="shared" si="111"/>
        <v>266.68952380952379</v>
      </c>
      <c r="F175" s="28">
        <f t="shared" si="111"/>
        <v>266.68952380952379</v>
      </c>
      <c r="G175" s="28">
        <f t="shared" si="111"/>
        <v>266.68952380952379</v>
      </c>
      <c r="H175" s="28">
        <f t="shared" si="111"/>
        <v>266.68952380952379</v>
      </c>
      <c r="I175" s="28">
        <f t="shared" si="111"/>
        <v>266.68952380952379</v>
      </c>
      <c r="J175" s="28">
        <f t="shared" si="111"/>
        <v>266.68952380952379</v>
      </c>
      <c r="K175" s="28">
        <f t="shared" si="111"/>
        <v>266.68952380952379</v>
      </c>
      <c r="L175" s="28">
        <f t="shared" si="111"/>
        <v>266.68952380952379</v>
      </c>
      <c r="M175" s="28">
        <f t="shared" si="111"/>
        <v>266.68952380952379</v>
      </c>
      <c r="N175" s="28">
        <f t="shared" si="111"/>
        <v>266.68952380952379</v>
      </c>
      <c r="O175" s="28">
        <f t="shared" si="111"/>
        <v>266.68952380952379</v>
      </c>
      <c r="P175" s="28">
        <f t="shared" si="111"/>
        <v>266.68952380952379</v>
      </c>
      <c r="Q175" s="28">
        <f t="shared" si="111"/>
        <v>266.68952380952379</v>
      </c>
      <c r="R175" s="28">
        <f t="shared" si="111"/>
        <v>266.68952380952379</v>
      </c>
      <c r="S175" s="28">
        <f t="shared" si="111"/>
        <v>266.68952380952379</v>
      </c>
      <c r="T175" s="28">
        <f t="shared" si="111"/>
        <v>266.68952380952379</v>
      </c>
      <c r="U175" s="28">
        <f t="shared" si="111"/>
        <v>266.68952380952379</v>
      </c>
    </row>
    <row r="176" spans="1:21" x14ac:dyDescent="0.25">
      <c r="A176" s="26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</row>
    <row r="177" spans="1:21" x14ac:dyDescent="0.25">
      <c r="A177" s="26" t="s">
        <v>118</v>
      </c>
      <c r="B177" s="28">
        <f>SUM(B168:B170,B174:B175)</f>
        <v>890.19123809523808</v>
      </c>
      <c r="C177" s="28">
        <f t="shared" ref="C177:U177" si="112">SUM(C168:C170,C174:C175)</f>
        <v>890.19123809523808</v>
      </c>
      <c r="D177" s="28">
        <f t="shared" si="112"/>
        <v>890.19123809523808</v>
      </c>
      <c r="E177" s="28">
        <f t="shared" si="112"/>
        <v>890.19123809523808</v>
      </c>
      <c r="F177" s="28">
        <f t="shared" si="112"/>
        <v>890.19123809523808</v>
      </c>
      <c r="G177" s="28">
        <f t="shared" si="112"/>
        <v>890.19123809523808</v>
      </c>
      <c r="H177" s="28">
        <f t="shared" si="112"/>
        <v>890.19123809523808</v>
      </c>
      <c r="I177" s="28">
        <f t="shared" si="112"/>
        <v>890.19123809523808</v>
      </c>
      <c r="J177" s="28">
        <f t="shared" si="112"/>
        <v>890.19123809523808</v>
      </c>
      <c r="K177" s="28">
        <f t="shared" si="112"/>
        <v>890.19123809523808</v>
      </c>
      <c r="L177" s="28">
        <f t="shared" si="112"/>
        <v>890.19123809523808</v>
      </c>
      <c r="M177" s="28">
        <f t="shared" si="112"/>
        <v>890.19123809523808</v>
      </c>
      <c r="N177" s="28">
        <f t="shared" si="112"/>
        <v>890.19123809523808</v>
      </c>
      <c r="O177" s="28">
        <f t="shared" si="112"/>
        <v>890.19123809523808</v>
      </c>
      <c r="P177" s="28">
        <f t="shared" si="112"/>
        <v>890.19123809523808</v>
      </c>
      <c r="Q177" s="28">
        <f t="shared" si="112"/>
        <v>890.19123809523808</v>
      </c>
      <c r="R177" s="28">
        <f t="shared" si="112"/>
        <v>890.19123809523808</v>
      </c>
      <c r="S177" s="28">
        <f t="shared" si="112"/>
        <v>890.19123809523808</v>
      </c>
      <c r="T177" s="28">
        <f t="shared" si="112"/>
        <v>890.19123809523808</v>
      </c>
      <c r="U177" s="28">
        <f t="shared" si="112"/>
        <v>890.19123809523808</v>
      </c>
    </row>
    <row r="178" spans="1:21" x14ac:dyDescent="0.25">
      <c r="A178" s="26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</row>
    <row r="179" spans="1:21" x14ac:dyDescent="0.25">
      <c r="A179" s="5"/>
      <c r="B179" s="5"/>
      <c r="C179" s="5"/>
      <c r="D179" s="5"/>
      <c r="E179" s="5"/>
      <c r="F179" s="5"/>
      <c r="G179" s="5"/>
    </row>
    <row r="180" spans="1:21" s="49" customFormat="1" x14ac:dyDescent="0.25">
      <c r="A180" s="26" t="s">
        <v>131</v>
      </c>
      <c r="B180" s="26"/>
      <c r="C180" s="26"/>
      <c r="D180" s="26"/>
      <c r="E180" s="26"/>
      <c r="F180" s="26"/>
      <c r="G180" s="26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</row>
    <row r="181" spans="1:21" s="49" customFormat="1" x14ac:dyDescent="0.25">
      <c r="A181" s="26" t="s">
        <v>115</v>
      </c>
      <c r="B181" s="26"/>
      <c r="C181" s="26"/>
      <c r="D181" s="26"/>
      <c r="E181" s="26"/>
      <c r="F181" s="26"/>
      <c r="G181" s="26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</row>
    <row r="182" spans="1:21" s="49" customFormat="1" x14ac:dyDescent="0.25">
      <c r="A182" s="26"/>
      <c r="B182" s="26" t="s">
        <v>1</v>
      </c>
      <c r="C182" s="26"/>
      <c r="D182" s="26"/>
      <c r="E182" s="26"/>
      <c r="F182" s="26"/>
      <c r="G182" s="26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</row>
    <row r="183" spans="1:21" s="49" customFormat="1" x14ac:dyDescent="0.25">
      <c r="A183" s="26" t="s">
        <v>117</v>
      </c>
      <c r="B183" s="26">
        <v>1</v>
      </c>
      <c r="C183" s="26">
        <v>2</v>
      </c>
      <c r="D183" s="26">
        <v>3</v>
      </c>
      <c r="E183" s="26">
        <v>4</v>
      </c>
      <c r="F183" s="26">
        <v>5</v>
      </c>
      <c r="G183" s="26">
        <v>6</v>
      </c>
      <c r="H183" s="26">
        <v>7</v>
      </c>
      <c r="I183" s="26">
        <v>8</v>
      </c>
      <c r="J183" s="26">
        <v>9</v>
      </c>
      <c r="K183" s="26">
        <v>10</v>
      </c>
      <c r="L183" s="26">
        <v>11</v>
      </c>
      <c r="M183" s="26">
        <v>12</v>
      </c>
      <c r="N183" s="26">
        <v>13</v>
      </c>
      <c r="O183" s="26">
        <v>14</v>
      </c>
      <c r="P183" s="26">
        <v>15</v>
      </c>
      <c r="Q183" s="26">
        <v>16</v>
      </c>
      <c r="R183" s="26">
        <v>17</v>
      </c>
      <c r="S183" s="26">
        <v>18</v>
      </c>
      <c r="T183" s="26">
        <v>19</v>
      </c>
      <c r="U183" s="26">
        <v>20</v>
      </c>
    </row>
    <row r="184" spans="1:21" s="49" customFormat="1" x14ac:dyDescent="0.25">
      <c r="A184" s="26" t="s">
        <v>28</v>
      </c>
      <c r="B184" s="81">
        <f t="shared" ref="B184:U184" si="113">(($B5/$J$10*$B$141)*$B160/1000)*12/B49</f>
        <v>92.069124919923127</v>
      </c>
      <c r="C184" s="81">
        <f t="shared" si="113"/>
        <v>91.115746407438721</v>
      </c>
      <c r="D184" s="81">
        <f t="shared" si="113"/>
        <v>90.181910060656762</v>
      </c>
      <c r="E184" s="81">
        <f t="shared" si="113"/>
        <v>89.267021118012437</v>
      </c>
      <c r="F184" s="81">
        <f t="shared" si="113"/>
        <v>88.370508710801403</v>
      </c>
      <c r="G184" s="81">
        <f t="shared" si="113"/>
        <v>87.491824675324679</v>
      </c>
      <c r="H184" s="81">
        <f t="shared" si="113"/>
        <v>86.630442435201928</v>
      </c>
      <c r="I184" s="81">
        <f t="shared" si="113"/>
        <v>85.785855949064867</v>
      </c>
      <c r="J184" s="81">
        <f t="shared" si="113"/>
        <v>84.957578719211824</v>
      </c>
      <c r="K184" s="81">
        <f t="shared" si="113"/>
        <v>84.145142857142858</v>
      </c>
      <c r="L184" s="81">
        <f t="shared" si="113"/>
        <v>84.145142857142858</v>
      </c>
      <c r="M184" s="81">
        <f t="shared" si="113"/>
        <v>84.145142857142858</v>
      </c>
      <c r="N184" s="81">
        <f t="shared" si="113"/>
        <v>84.145142857142858</v>
      </c>
      <c r="O184" s="81">
        <f t="shared" si="113"/>
        <v>84.145142857142858</v>
      </c>
      <c r="P184" s="81">
        <f t="shared" si="113"/>
        <v>84.145142857142858</v>
      </c>
      <c r="Q184" s="81">
        <f t="shared" si="113"/>
        <v>84.145142857142858</v>
      </c>
      <c r="R184" s="81">
        <f t="shared" si="113"/>
        <v>84.145142857142858</v>
      </c>
      <c r="S184" s="81">
        <f t="shared" si="113"/>
        <v>84.145142857142858</v>
      </c>
      <c r="T184" s="81">
        <f t="shared" si="113"/>
        <v>84.145142857142858</v>
      </c>
      <c r="U184" s="81">
        <f t="shared" si="113"/>
        <v>84.145142857142858</v>
      </c>
    </row>
    <row r="185" spans="1:21" s="49" customFormat="1" x14ac:dyDescent="0.25">
      <c r="A185" s="26" t="s">
        <v>29</v>
      </c>
      <c r="B185" s="81">
        <f t="shared" ref="B185:U185" si="114">(($B6/$J$10*$B$141)*$B161/1000)*12/B50</f>
        <v>44.141714285714286</v>
      </c>
      <c r="C185" s="81">
        <f t="shared" si="114"/>
        <v>42.263343465045594</v>
      </c>
      <c r="D185" s="81">
        <f t="shared" si="114"/>
        <v>40.538309037900873</v>
      </c>
      <c r="E185" s="81">
        <f t="shared" si="114"/>
        <v>38.948571428571427</v>
      </c>
      <c r="F185" s="81">
        <f t="shared" si="114"/>
        <v>37.4788140161725</v>
      </c>
      <c r="G185" s="81">
        <f t="shared" si="114"/>
        <v>36.115948051948052</v>
      </c>
      <c r="H185" s="81">
        <f t="shared" si="114"/>
        <v>34.848721804511278</v>
      </c>
      <c r="I185" s="81">
        <f t="shared" si="114"/>
        <v>33.667409200968521</v>
      </c>
      <c r="J185" s="81">
        <f t="shared" si="114"/>
        <v>32.563559718969557</v>
      </c>
      <c r="K185" s="81">
        <f t="shared" si="114"/>
        <v>31.529795918367345</v>
      </c>
      <c r="L185" s="81">
        <f t="shared" si="114"/>
        <v>31.529795918367345</v>
      </c>
      <c r="M185" s="81">
        <f t="shared" si="114"/>
        <v>31.529795918367345</v>
      </c>
      <c r="N185" s="81">
        <f t="shared" si="114"/>
        <v>31.529795918367345</v>
      </c>
      <c r="O185" s="81">
        <f t="shared" si="114"/>
        <v>31.529795918367345</v>
      </c>
      <c r="P185" s="81">
        <f t="shared" si="114"/>
        <v>31.529795918367345</v>
      </c>
      <c r="Q185" s="81">
        <f t="shared" si="114"/>
        <v>31.529795918367345</v>
      </c>
      <c r="R185" s="81">
        <f t="shared" si="114"/>
        <v>31.529795918367345</v>
      </c>
      <c r="S185" s="81">
        <f t="shared" si="114"/>
        <v>31.529795918367345</v>
      </c>
      <c r="T185" s="81">
        <f t="shared" si="114"/>
        <v>31.529795918367345</v>
      </c>
      <c r="U185" s="81">
        <f t="shared" si="114"/>
        <v>31.529795918367345</v>
      </c>
    </row>
    <row r="186" spans="1:21" s="49" customFormat="1" x14ac:dyDescent="0.25">
      <c r="A186" s="26" t="s">
        <v>30</v>
      </c>
      <c r="B186" s="81">
        <f t="shared" ref="B186:U186" si="115">(($B7/$J$10*$B$141)*$B162/1000)*12/B51</f>
        <v>264.85028571428575</v>
      </c>
      <c r="C186" s="81">
        <f t="shared" si="115"/>
        <v>248.7289639751553</v>
      </c>
      <c r="D186" s="81">
        <f t="shared" si="115"/>
        <v>234.45762997658082</v>
      </c>
      <c r="E186" s="81">
        <f t="shared" si="115"/>
        <v>221.73512292358808</v>
      </c>
      <c r="F186" s="81">
        <f t="shared" si="115"/>
        <v>210.32228571428575</v>
      </c>
      <c r="G186" s="81">
        <f t="shared" si="115"/>
        <v>200.02678921078922</v>
      </c>
      <c r="H186" s="81">
        <f t="shared" si="115"/>
        <v>190.69220571428576</v>
      </c>
      <c r="I186" s="81">
        <f t="shared" si="115"/>
        <v>182.19000545950868</v>
      </c>
      <c r="J186" s="81">
        <f t="shared" si="115"/>
        <v>174.41360278745648</v>
      </c>
      <c r="K186" s="81">
        <f t="shared" si="115"/>
        <v>167.27386466165416</v>
      </c>
      <c r="L186" s="81">
        <f t="shared" si="115"/>
        <v>167.27386466165416</v>
      </c>
      <c r="M186" s="81">
        <f t="shared" si="115"/>
        <v>167.27386466165416</v>
      </c>
      <c r="N186" s="81">
        <f t="shared" si="115"/>
        <v>167.27386466165416</v>
      </c>
      <c r="O186" s="81">
        <f t="shared" si="115"/>
        <v>167.27386466165416</v>
      </c>
      <c r="P186" s="81">
        <f t="shared" si="115"/>
        <v>167.27386466165416</v>
      </c>
      <c r="Q186" s="81">
        <f t="shared" si="115"/>
        <v>167.27386466165416</v>
      </c>
      <c r="R186" s="81">
        <f t="shared" si="115"/>
        <v>167.27386466165416</v>
      </c>
      <c r="S186" s="81">
        <f t="shared" si="115"/>
        <v>167.27386466165416</v>
      </c>
      <c r="T186" s="81">
        <f t="shared" si="115"/>
        <v>167.27386466165416</v>
      </c>
      <c r="U186" s="81">
        <f t="shared" si="115"/>
        <v>167.27386466165416</v>
      </c>
    </row>
    <row r="187" spans="1:21" s="49" customFormat="1" x14ac:dyDescent="0.25">
      <c r="A187" s="26"/>
      <c r="B187" s="26"/>
      <c r="C187" s="26"/>
      <c r="D187" s="26"/>
      <c r="E187" s="26"/>
      <c r="F187" s="26"/>
      <c r="G187" s="26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</row>
    <row r="188" spans="1:21" s="49" customFormat="1" x14ac:dyDescent="0.25">
      <c r="A188" s="26"/>
      <c r="B188" s="26" t="s">
        <v>1</v>
      </c>
      <c r="C188" s="26"/>
      <c r="D188" s="26"/>
      <c r="E188" s="26"/>
      <c r="F188" s="26"/>
      <c r="G188" s="26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</row>
    <row r="189" spans="1:21" s="49" customFormat="1" x14ac:dyDescent="0.25">
      <c r="A189" s="26" t="s">
        <v>20</v>
      </c>
      <c r="B189" s="26">
        <v>1</v>
      </c>
      <c r="C189" s="26">
        <v>2</v>
      </c>
      <c r="D189" s="26">
        <v>3</v>
      </c>
      <c r="E189" s="26">
        <v>4</v>
      </c>
      <c r="F189" s="26">
        <v>5</v>
      </c>
      <c r="G189" s="26">
        <v>6</v>
      </c>
      <c r="H189" s="26">
        <v>7</v>
      </c>
      <c r="I189" s="26">
        <v>8</v>
      </c>
      <c r="J189" s="26">
        <v>9</v>
      </c>
      <c r="K189" s="26">
        <v>10</v>
      </c>
      <c r="L189" s="26">
        <v>11</v>
      </c>
      <c r="M189" s="26">
        <v>12</v>
      </c>
      <c r="N189" s="26">
        <v>13</v>
      </c>
      <c r="O189" s="26">
        <v>14</v>
      </c>
      <c r="P189" s="26">
        <v>15</v>
      </c>
      <c r="Q189" s="26">
        <v>16</v>
      </c>
      <c r="R189" s="26">
        <v>17</v>
      </c>
      <c r="S189" s="26">
        <v>18</v>
      </c>
      <c r="T189" s="26">
        <v>19</v>
      </c>
      <c r="U189" s="26">
        <v>20</v>
      </c>
    </row>
    <row r="190" spans="1:21" s="49" customFormat="1" x14ac:dyDescent="0.25">
      <c r="A190" s="26" t="s">
        <v>28</v>
      </c>
      <c r="B190" s="81">
        <f t="shared" ref="B190:U190" si="116">(($C5/$J$10*$B$141)*$B160/1000)*12/B54</f>
        <v>73.600177777777787</v>
      </c>
      <c r="C190" s="81">
        <f t="shared" si="116"/>
        <v>72.880371638141824</v>
      </c>
      <c r="D190" s="81">
        <f t="shared" si="116"/>
        <v>72.174508474576285</v>
      </c>
      <c r="E190" s="81">
        <f t="shared" si="116"/>
        <v>71.482187050359727</v>
      </c>
      <c r="F190" s="81">
        <f t="shared" si="116"/>
        <v>70.803021377672223</v>
      </c>
      <c r="G190" s="81">
        <f t="shared" si="116"/>
        <v>70.13664</v>
      </c>
      <c r="H190" s="81">
        <f t="shared" si="116"/>
        <v>69.482685314685327</v>
      </c>
      <c r="I190" s="81">
        <f t="shared" si="116"/>
        <v>68.840812933025404</v>
      </c>
      <c r="J190" s="81">
        <f t="shared" si="116"/>
        <v>68.210691075514873</v>
      </c>
      <c r="K190" s="81">
        <f t="shared" si="116"/>
        <v>67.591999999999999</v>
      </c>
      <c r="L190" s="81">
        <f t="shared" si="116"/>
        <v>67.591999999999999</v>
      </c>
      <c r="M190" s="81">
        <f t="shared" si="116"/>
        <v>67.591999999999999</v>
      </c>
      <c r="N190" s="81">
        <f t="shared" si="116"/>
        <v>67.591999999999999</v>
      </c>
      <c r="O190" s="81">
        <f t="shared" si="116"/>
        <v>67.591999999999999</v>
      </c>
      <c r="P190" s="81">
        <f t="shared" si="116"/>
        <v>67.591999999999999</v>
      </c>
      <c r="Q190" s="81">
        <f t="shared" si="116"/>
        <v>67.591999999999999</v>
      </c>
      <c r="R190" s="81">
        <f t="shared" si="116"/>
        <v>67.591999999999999</v>
      </c>
      <c r="S190" s="81">
        <f t="shared" si="116"/>
        <v>67.591999999999999</v>
      </c>
      <c r="T190" s="81">
        <f t="shared" si="116"/>
        <v>67.591999999999999</v>
      </c>
      <c r="U190" s="81">
        <f t="shared" si="116"/>
        <v>67.591999999999999</v>
      </c>
    </row>
    <row r="191" spans="1:21" s="49" customFormat="1" x14ac:dyDescent="0.25">
      <c r="A191" s="26" t="s">
        <v>29</v>
      </c>
      <c r="B191" s="81">
        <f t="shared" ref="B191:U191" si="117">(($C6/$J$10*$B$141)*$B161/1000)*12/B55</f>
        <v>214.83322751322748</v>
      </c>
      <c r="C191" s="81">
        <f t="shared" si="117"/>
        <v>205.63062249419707</v>
      </c>
      <c r="D191" s="81">
        <f t="shared" si="117"/>
        <v>197.18403885066775</v>
      </c>
      <c r="E191" s="81">
        <f t="shared" si="117"/>
        <v>189.40398833819239</v>
      </c>
      <c r="F191" s="81">
        <f t="shared" si="117"/>
        <v>182.21456993268509</v>
      </c>
      <c r="G191" s="81">
        <f t="shared" si="117"/>
        <v>175.55098540803459</v>
      </c>
      <c r="H191" s="81">
        <f t="shared" si="117"/>
        <v>169.35758081334723</v>
      </c>
      <c r="I191" s="81">
        <f t="shared" si="117"/>
        <v>163.58628840020143</v>
      </c>
      <c r="J191" s="81">
        <f t="shared" si="117"/>
        <v>158.19537662337663</v>
      </c>
      <c r="K191" s="81">
        <f t="shared" si="117"/>
        <v>153.14843941537009</v>
      </c>
      <c r="L191" s="81">
        <f t="shared" si="117"/>
        <v>153.14843941537009</v>
      </c>
      <c r="M191" s="81">
        <f t="shared" si="117"/>
        <v>153.14843941537009</v>
      </c>
      <c r="N191" s="81">
        <f t="shared" si="117"/>
        <v>153.14843941537009</v>
      </c>
      <c r="O191" s="81">
        <f t="shared" si="117"/>
        <v>153.14843941537009</v>
      </c>
      <c r="P191" s="81">
        <f t="shared" si="117"/>
        <v>153.14843941537009</v>
      </c>
      <c r="Q191" s="81">
        <f t="shared" si="117"/>
        <v>153.14843941537009</v>
      </c>
      <c r="R191" s="81">
        <f t="shared" si="117"/>
        <v>153.14843941537009</v>
      </c>
      <c r="S191" s="81">
        <f t="shared" si="117"/>
        <v>153.14843941537009</v>
      </c>
      <c r="T191" s="81">
        <f t="shared" si="117"/>
        <v>153.14843941537009</v>
      </c>
      <c r="U191" s="81">
        <f t="shared" si="117"/>
        <v>153.14843941537009</v>
      </c>
    </row>
    <row r="192" spans="1:21" s="49" customFormat="1" x14ac:dyDescent="0.25">
      <c r="A192" s="26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</row>
    <row r="193" spans="1:23" s="49" customFormat="1" x14ac:dyDescent="0.25">
      <c r="A193" s="26" t="s">
        <v>118</v>
      </c>
      <c r="B193" s="81">
        <f>SUM(B184:B186,B190:B191)</f>
        <v>689.49453021092836</v>
      </c>
      <c r="C193" s="81">
        <f t="shared" ref="C193:U193" si="118">SUM(C184:C186,C190:C191)</f>
        <v>660.61904797997852</v>
      </c>
      <c r="D193" s="81">
        <f t="shared" si="118"/>
        <v>634.5363964003825</v>
      </c>
      <c r="E193" s="81">
        <f t="shared" si="118"/>
        <v>610.83689085872402</v>
      </c>
      <c r="F193" s="81">
        <f t="shared" si="118"/>
        <v>589.18919975161702</v>
      </c>
      <c r="G193" s="81">
        <f t="shared" si="118"/>
        <v>569.3221873460966</v>
      </c>
      <c r="H193" s="81">
        <f t="shared" si="118"/>
        <v>551.0116360820316</v>
      </c>
      <c r="I193" s="81">
        <f t="shared" si="118"/>
        <v>534.07037194276893</v>
      </c>
      <c r="J193" s="81">
        <f t="shared" si="118"/>
        <v>518.34080892452937</v>
      </c>
      <c r="K193" s="81">
        <f t="shared" si="118"/>
        <v>503.68924285253445</v>
      </c>
      <c r="L193" s="81">
        <f t="shared" si="118"/>
        <v>503.68924285253445</v>
      </c>
      <c r="M193" s="81">
        <f t="shared" si="118"/>
        <v>503.68924285253445</v>
      </c>
      <c r="N193" s="81">
        <f t="shared" si="118"/>
        <v>503.68924285253445</v>
      </c>
      <c r="O193" s="81">
        <f t="shared" si="118"/>
        <v>503.68924285253445</v>
      </c>
      <c r="P193" s="81">
        <f t="shared" si="118"/>
        <v>503.68924285253445</v>
      </c>
      <c r="Q193" s="81">
        <f t="shared" si="118"/>
        <v>503.68924285253445</v>
      </c>
      <c r="R193" s="81">
        <f t="shared" si="118"/>
        <v>503.68924285253445</v>
      </c>
      <c r="S193" s="81">
        <f t="shared" si="118"/>
        <v>503.68924285253445</v>
      </c>
      <c r="T193" s="81">
        <f t="shared" si="118"/>
        <v>503.68924285253445</v>
      </c>
      <c r="U193" s="81">
        <f t="shared" si="118"/>
        <v>503.68924285253445</v>
      </c>
    </row>
    <row r="194" spans="1:23" s="49" customFormat="1" x14ac:dyDescent="0.25">
      <c r="A194" s="26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</row>
    <row r="195" spans="1:23" s="49" customFormat="1" x14ac:dyDescent="0.25">
      <c r="A195" s="5"/>
      <c r="B195" s="5"/>
      <c r="C195" s="5"/>
      <c r="D195" s="5"/>
      <c r="E195" s="5"/>
      <c r="F195" s="5"/>
      <c r="G195" s="5"/>
    </row>
    <row r="196" spans="1:23" s="49" customFormat="1" x14ac:dyDescent="0.25">
      <c r="A196" s="26" t="s">
        <v>132</v>
      </c>
      <c r="B196" s="26"/>
      <c r="C196" s="26"/>
      <c r="D196" s="26"/>
      <c r="E196" s="26"/>
      <c r="F196" s="26"/>
      <c r="G196" s="26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</row>
    <row r="197" spans="1:23" s="49" customFormat="1" x14ac:dyDescent="0.25">
      <c r="A197" s="26" t="s">
        <v>115</v>
      </c>
      <c r="B197" s="26"/>
      <c r="C197" s="26"/>
      <c r="D197" s="26"/>
      <c r="E197" s="26"/>
      <c r="F197" s="26"/>
      <c r="G197" s="26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</row>
    <row r="198" spans="1:23" s="49" customFormat="1" x14ac:dyDescent="0.25">
      <c r="A198" s="26"/>
      <c r="B198" s="26" t="s">
        <v>1</v>
      </c>
      <c r="C198" s="26"/>
      <c r="D198" s="26"/>
      <c r="E198" s="26"/>
      <c r="F198" s="26"/>
      <c r="G198" s="26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</row>
    <row r="199" spans="1:23" s="49" customFormat="1" x14ac:dyDescent="0.25">
      <c r="A199" s="26" t="s">
        <v>117</v>
      </c>
      <c r="B199" s="26">
        <v>1</v>
      </c>
      <c r="C199" s="26">
        <v>2</v>
      </c>
      <c r="D199" s="26">
        <v>3</v>
      </c>
      <c r="E199" s="26">
        <v>4</v>
      </c>
      <c r="F199" s="26">
        <v>5</v>
      </c>
      <c r="G199" s="26">
        <v>6</v>
      </c>
      <c r="H199" s="26">
        <v>7</v>
      </c>
      <c r="I199" s="26">
        <v>8</v>
      </c>
      <c r="J199" s="26">
        <v>9</v>
      </c>
      <c r="K199" s="26">
        <v>10</v>
      </c>
      <c r="L199" s="26">
        <v>11</v>
      </c>
      <c r="M199" s="26">
        <v>12</v>
      </c>
      <c r="N199" s="26">
        <v>13</v>
      </c>
      <c r="O199" s="26">
        <v>14</v>
      </c>
      <c r="P199" s="26">
        <v>15</v>
      </c>
      <c r="Q199" s="26">
        <v>16</v>
      </c>
      <c r="R199" s="26">
        <v>17</v>
      </c>
      <c r="S199" s="26">
        <v>18</v>
      </c>
      <c r="T199" s="26">
        <v>19</v>
      </c>
      <c r="U199" s="26">
        <v>20</v>
      </c>
    </row>
    <row r="200" spans="1:23" s="49" customFormat="1" x14ac:dyDescent="0.25">
      <c r="A200" s="26" t="s">
        <v>28</v>
      </c>
      <c r="B200" s="81">
        <f t="shared" ref="B200:U200" si="119">(($B5/$J$10*$B$141)*$B160/1000)*12/B90</f>
        <v>123.68322203098109</v>
      </c>
      <c r="C200" s="81">
        <f t="shared" si="119"/>
        <v>119.02269482401657</v>
      </c>
      <c r="D200" s="81">
        <f t="shared" si="119"/>
        <v>114.70064166001599</v>
      </c>
      <c r="E200" s="81">
        <f t="shared" si="119"/>
        <v>110.68148170966501</v>
      </c>
      <c r="F200" s="81">
        <f t="shared" si="119"/>
        <v>106.93445238095239</v>
      </c>
      <c r="G200" s="81">
        <f t="shared" si="119"/>
        <v>106.93445238095239</v>
      </c>
      <c r="H200" s="81">
        <f t="shared" si="119"/>
        <v>106.93445238095239</v>
      </c>
      <c r="I200" s="81">
        <f t="shared" si="119"/>
        <v>106.93445238095239</v>
      </c>
      <c r="J200" s="81">
        <f t="shared" si="119"/>
        <v>106.93445238095239</v>
      </c>
      <c r="K200" s="81">
        <f t="shared" si="119"/>
        <v>106.93445238095239</v>
      </c>
      <c r="L200" s="81">
        <f t="shared" si="119"/>
        <v>106.93445238095239</v>
      </c>
      <c r="M200" s="81">
        <f t="shared" si="119"/>
        <v>106.93445238095239</v>
      </c>
      <c r="N200" s="81">
        <f t="shared" si="119"/>
        <v>106.93445238095239</v>
      </c>
      <c r="O200" s="81">
        <f t="shared" si="119"/>
        <v>106.93445238095239</v>
      </c>
      <c r="P200" s="81">
        <f t="shared" si="119"/>
        <v>106.93445238095239</v>
      </c>
      <c r="Q200" s="81">
        <f t="shared" si="119"/>
        <v>106.93445238095239</v>
      </c>
      <c r="R200" s="81">
        <f t="shared" si="119"/>
        <v>106.93445238095239</v>
      </c>
      <c r="S200" s="81">
        <f t="shared" si="119"/>
        <v>106.93445238095239</v>
      </c>
      <c r="T200" s="81">
        <f t="shared" si="119"/>
        <v>106.93445238095239</v>
      </c>
      <c r="U200" s="81">
        <f t="shared" si="119"/>
        <v>106.93445238095239</v>
      </c>
    </row>
    <row r="201" spans="1:23" s="49" customFormat="1" x14ac:dyDescent="0.25">
      <c r="A201" s="26" t="s">
        <v>29</v>
      </c>
      <c r="B201" s="81">
        <f t="shared" ref="B201:U201" si="120">(($B6/$J$10*$B$141)*$B161/1000)*12/B91</f>
        <v>44.141714285714286</v>
      </c>
      <c r="C201" s="81">
        <f t="shared" si="120"/>
        <v>41.382857142857141</v>
      </c>
      <c r="D201" s="81">
        <f t="shared" si="120"/>
        <v>38.948571428571427</v>
      </c>
      <c r="E201" s="81">
        <f t="shared" si="120"/>
        <v>36.784761904761901</v>
      </c>
      <c r="F201" s="81">
        <f t="shared" si="120"/>
        <v>34.848721804511278</v>
      </c>
      <c r="G201" s="81">
        <f t="shared" si="120"/>
        <v>34.848721804511278</v>
      </c>
      <c r="H201" s="81">
        <f t="shared" si="120"/>
        <v>34.848721804511278</v>
      </c>
      <c r="I201" s="81">
        <f t="shared" si="120"/>
        <v>34.848721804511278</v>
      </c>
      <c r="J201" s="81">
        <f t="shared" si="120"/>
        <v>34.848721804511278</v>
      </c>
      <c r="K201" s="81">
        <f t="shared" si="120"/>
        <v>34.848721804511278</v>
      </c>
      <c r="L201" s="81">
        <f t="shared" si="120"/>
        <v>34.848721804511278</v>
      </c>
      <c r="M201" s="81">
        <f t="shared" si="120"/>
        <v>34.848721804511278</v>
      </c>
      <c r="N201" s="81">
        <f t="shared" si="120"/>
        <v>34.848721804511278</v>
      </c>
      <c r="O201" s="81">
        <f t="shared" si="120"/>
        <v>34.848721804511278</v>
      </c>
      <c r="P201" s="81">
        <f t="shared" si="120"/>
        <v>34.848721804511278</v>
      </c>
      <c r="Q201" s="81">
        <f t="shared" si="120"/>
        <v>34.848721804511278</v>
      </c>
      <c r="R201" s="81">
        <f t="shared" si="120"/>
        <v>34.848721804511278</v>
      </c>
      <c r="S201" s="81">
        <f t="shared" si="120"/>
        <v>34.848721804511278</v>
      </c>
      <c r="T201" s="81">
        <f t="shared" si="120"/>
        <v>34.848721804511278</v>
      </c>
      <c r="U201" s="81">
        <f t="shared" si="120"/>
        <v>34.848721804511278</v>
      </c>
    </row>
    <row r="202" spans="1:23" s="49" customFormat="1" x14ac:dyDescent="0.25">
      <c r="A202" s="26" t="s">
        <v>30</v>
      </c>
      <c r="B202" s="81">
        <f t="shared" ref="B202:U202" si="121">(($B7/$J$10*$B$141)*$B162/1000)*12/B92</f>
        <v>307.56807373271897</v>
      </c>
      <c r="C202" s="81">
        <f t="shared" si="121"/>
        <v>278.38278206465071</v>
      </c>
      <c r="D202" s="81">
        <f t="shared" si="121"/>
        <v>254.25627428571431</v>
      </c>
      <c r="E202" s="81">
        <f t="shared" si="121"/>
        <v>233.97816652059598</v>
      </c>
      <c r="F202" s="81">
        <f t="shared" si="121"/>
        <v>216.69568831168831</v>
      </c>
      <c r="G202" s="81">
        <f t="shared" si="121"/>
        <v>216.69568831168831</v>
      </c>
      <c r="H202" s="81">
        <f t="shared" si="121"/>
        <v>216.69568831168831</v>
      </c>
      <c r="I202" s="81">
        <f t="shared" si="121"/>
        <v>216.69568831168831</v>
      </c>
      <c r="J202" s="81">
        <f t="shared" si="121"/>
        <v>216.69568831168831</v>
      </c>
      <c r="K202" s="81">
        <f t="shared" si="121"/>
        <v>216.69568831168831</v>
      </c>
      <c r="L202" s="81">
        <f t="shared" si="121"/>
        <v>216.69568831168831</v>
      </c>
      <c r="M202" s="81">
        <f t="shared" si="121"/>
        <v>216.69568831168831</v>
      </c>
      <c r="N202" s="81">
        <f t="shared" si="121"/>
        <v>216.69568831168831</v>
      </c>
      <c r="O202" s="81">
        <f t="shared" si="121"/>
        <v>216.69568831168831</v>
      </c>
      <c r="P202" s="81">
        <f t="shared" si="121"/>
        <v>216.69568831168831</v>
      </c>
      <c r="Q202" s="81">
        <f t="shared" si="121"/>
        <v>216.69568831168831</v>
      </c>
      <c r="R202" s="81">
        <f t="shared" si="121"/>
        <v>216.69568831168831</v>
      </c>
      <c r="S202" s="81">
        <f t="shared" si="121"/>
        <v>216.69568831168831</v>
      </c>
      <c r="T202" s="81">
        <f t="shared" si="121"/>
        <v>216.69568831168831</v>
      </c>
      <c r="U202" s="81">
        <f t="shared" si="121"/>
        <v>216.69568831168831</v>
      </c>
    </row>
    <row r="203" spans="1:23" s="49" customFormat="1" x14ac:dyDescent="0.25">
      <c r="A203" s="26"/>
      <c r="B203" s="26"/>
      <c r="C203" s="26"/>
      <c r="D203" s="26"/>
      <c r="E203" s="26"/>
      <c r="F203" s="26"/>
      <c r="G203" s="26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</row>
    <row r="204" spans="1:23" s="49" customFormat="1" x14ac:dyDescent="0.25">
      <c r="A204" s="26"/>
      <c r="B204" s="26" t="s">
        <v>1</v>
      </c>
      <c r="C204" s="26"/>
      <c r="D204" s="26"/>
      <c r="E204" s="26"/>
      <c r="F204" s="26"/>
      <c r="G204" s="26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</row>
    <row r="205" spans="1:23" s="49" customFormat="1" x14ac:dyDescent="0.25">
      <c r="A205" s="26" t="s">
        <v>20</v>
      </c>
      <c r="B205" s="26">
        <v>1</v>
      </c>
      <c r="C205" s="26">
        <v>2</v>
      </c>
      <c r="D205" s="26">
        <v>3</v>
      </c>
      <c r="E205" s="26">
        <v>4</v>
      </c>
      <c r="F205" s="26">
        <v>5</v>
      </c>
      <c r="G205" s="26">
        <v>6</v>
      </c>
      <c r="H205" s="26">
        <v>7</v>
      </c>
      <c r="I205" s="26">
        <v>8</v>
      </c>
      <c r="J205" s="26">
        <v>9</v>
      </c>
      <c r="K205" s="26">
        <v>10</v>
      </c>
      <c r="L205" s="26">
        <v>11</v>
      </c>
      <c r="M205" s="26">
        <v>12</v>
      </c>
      <c r="N205" s="26">
        <v>13</v>
      </c>
      <c r="O205" s="26">
        <v>14</v>
      </c>
      <c r="P205" s="26">
        <v>15</v>
      </c>
      <c r="Q205" s="26">
        <v>16</v>
      </c>
      <c r="R205" s="26">
        <v>17</v>
      </c>
      <c r="S205" s="26">
        <v>18</v>
      </c>
      <c r="T205" s="26">
        <v>19</v>
      </c>
      <c r="U205" s="26">
        <v>20</v>
      </c>
    </row>
    <row r="206" spans="1:23" s="49" customFormat="1" x14ac:dyDescent="0.25">
      <c r="A206" s="26" t="s">
        <v>28</v>
      </c>
      <c r="B206" s="81">
        <f t="shared" ref="B206:U206" si="122">(($C5/$J$10*$B$141)*$B160/1000)*12/B95</f>
        <v>90.122666666666674</v>
      </c>
      <c r="C206" s="81">
        <f t="shared" si="122"/>
        <v>87.301693574958819</v>
      </c>
      <c r="D206" s="81">
        <f t="shared" si="122"/>
        <v>84.651961661341858</v>
      </c>
      <c r="E206" s="81">
        <f t="shared" si="122"/>
        <v>82.158337984496143</v>
      </c>
      <c r="F206" s="81">
        <f t="shared" si="122"/>
        <v>79.807421686747006</v>
      </c>
      <c r="G206" s="81">
        <f t="shared" si="122"/>
        <v>79.807421686747006</v>
      </c>
      <c r="H206" s="81">
        <f t="shared" si="122"/>
        <v>79.807421686747006</v>
      </c>
      <c r="I206" s="81">
        <f t="shared" si="122"/>
        <v>79.807421686747006</v>
      </c>
      <c r="J206" s="81">
        <f t="shared" si="122"/>
        <v>79.807421686747006</v>
      </c>
      <c r="K206" s="81">
        <f t="shared" si="122"/>
        <v>79.807421686747006</v>
      </c>
      <c r="L206" s="81">
        <f t="shared" si="122"/>
        <v>79.807421686747006</v>
      </c>
      <c r="M206" s="81">
        <f t="shared" si="122"/>
        <v>79.807421686747006</v>
      </c>
      <c r="N206" s="81">
        <f t="shared" si="122"/>
        <v>79.807421686747006</v>
      </c>
      <c r="O206" s="81">
        <f t="shared" si="122"/>
        <v>79.807421686747006</v>
      </c>
      <c r="P206" s="81">
        <f t="shared" si="122"/>
        <v>79.807421686747006</v>
      </c>
      <c r="Q206" s="81">
        <f t="shared" si="122"/>
        <v>79.807421686747006</v>
      </c>
      <c r="R206" s="81">
        <f t="shared" si="122"/>
        <v>79.807421686747006</v>
      </c>
      <c r="S206" s="81">
        <f t="shared" si="122"/>
        <v>79.807421686747006</v>
      </c>
      <c r="T206" s="81">
        <f t="shared" si="122"/>
        <v>79.807421686747006</v>
      </c>
      <c r="U206" s="81">
        <f t="shared" si="122"/>
        <v>79.807421686747006</v>
      </c>
      <c r="V206" s="82"/>
      <c r="W206" s="82"/>
    </row>
    <row r="207" spans="1:23" s="49" customFormat="1" x14ac:dyDescent="0.25">
      <c r="A207" s="26" t="s">
        <v>29</v>
      </c>
      <c r="B207" s="81">
        <f t="shared" ref="B207:U207" si="123">(($C6/$J$10*$B$141)*$B161/1000)*12/B96</f>
        <v>322.24984126984128</v>
      </c>
      <c r="C207" s="81">
        <f t="shared" si="123"/>
        <v>291.84891284815814</v>
      </c>
      <c r="D207" s="81">
        <f t="shared" si="123"/>
        <v>266.68952380952379</v>
      </c>
      <c r="E207" s="81">
        <f t="shared" si="123"/>
        <v>245.52368858654572</v>
      </c>
      <c r="F207" s="81">
        <f t="shared" si="123"/>
        <v>227.47047619047621</v>
      </c>
      <c r="G207" s="81">
        <f t="shared" si="123"/>
        <v>227.47047619047621</v>
      </c>
      <c r="H207" s="81">
        <f t="shared" si="123"/>
        <v>227.47047619047621</v>
      </c>
      <c r="I207" s="81">
        <f t="shared" si="123"/>
        <v>227.47047619047621</v>
      </c>
      <c r="J207" s="81">
        <f t="shared" si="123"/>
        <v>227.47047619047621</v>
      </c>
      <c r="K207" s="81">
        <f t="shared" si="123"/>
        <v>227.47047619047621</v>
      </c>
      <c r="L207" s="81">
        <f t="shared" si="123"/>
        <v>227.47047619047621</v>
      </c>
      <c r="M207" s="81">
        <f t="shared" si="123"/>
        <v>227.47047619047621</v>
      </c>
      <c r="N207" s="81">
        <f t="shared" si="123"/>
        <v>227.47047619047621</v>
      </c>
      <c r="O207" s="81">
        <f t="shared" si="123"/>
        <v>227.47047619047621</v>
      </c>
      <c r="P207" s="81">
        <f t="shared" si="123"/>
        <v>227.47047619047621</v>
      </c>
      <c r="Q207" s="81">
        <f t="shared" si="123"/>
        <v>227.47047619047621</v>
      </c>
      <c r="R207" s="81">
        <f t="shared" si="123"/>
        <v>227.47047619047621</v>
      </c>
      <c r="S207" s="81">
        <f t="shared" si="123"/>
        <v>227.47047619047621</v>
      </c>
      <c r="T207" s="81">
        <f t="shared" si="123"/>
        <v>227.47047619047621</v>
      </c>
      <c r="U207" s="81">
        <f t="shared" si="123"/>
        <v>227.47047619047621</v>
      </c>
      <c r="V207" s="82"/>
      <c r="W207" s="82"/>
    </row>
    <row r="208" spans="1:23" s="49" customFormat="1" x14ac:dyDescent="0.25">
      <c r="A208" s="26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</row>
    <row r="209" spans="1:21" s="49" customFormat="1" x14ac:dyDescent="0.25">
      <c r="A209" s="26" t="s">
        <v>118</v>
      </c>
      <c r="B209" s="81">
        <f>SUM(B200:B202,B206:B207)</f>
        <v>887.76551798592232</v>
      </c>
      <c r="C209" s="81">
        <f t="shared" ref="C209:U209" si="124">SUM(C200:C202,C206:C207)</f>
        <v>817.9389404546414</v>
      </c>
      <c r="D209" s="81">
        <f t="shared" si="124"/>
        <v>759.24697284516742</v>
      </c>
      <c r="E209" s="81">
        <f t="shared" si="124"/>
        <v>709.12643670606474</v>
      </c>
      <c r="F209" s="81">
        <f t="shared" si="124"/>
        <v>665.75676037437529</v>
      </c>
      <c r="G209" s="81">
        <f t="shared" si="124"/>
        <v>665.75676037437529</v>
      </c>
      <c r="H209" s="81">
        <f t="shared" si="124"/>
        <v>665.75676037437529</v>
      </c>
      <c r="I209" s="81">
        <f t="shared" si="124"/>
        <v>665.75676037437529</v>
      </c>
      <c r="J209" s="81">
        <f t="shared" si="124"/>
        <v>665.75676037437529</v>
      </c>
      <c r="K209" s="81">
        <f t="shared" si="124"/>
        <v>665.75676037437529</v>
      </c>
      <c r="L209" s="81">
        <f t="shared" si="124"/>
        <v>665.75676037437529</v>
      </c>
      <c r="M209" s="81">
        <f t="shared" si="124"/>
        <v>665.75676037437529</v>
      </c>
      <c r="N209" s="81">
        <f t="shared" si="124"/>
        <v>665.75676037437529</v>
      </c>
      <c r="O209" s="81">
        <f t="shared" si="124"/>
        <v>665.75676037437529</v>
      </c>
      <c r="P209" s="81">
        <f t="shared" si="124"/>
        <v>665.75676037437529</v>
      </c>
      <c r="Q209" s="81">
        <f t="shared" si="124"/>
        <v>665.75676037437529</v>
      </c>
      <c r="R209" s="81">
        <f t="shared" si="124"/>
        <v>665.75676037437529</v>
      </c>
      <c r="S209" s="81">
        <f t="shared" si="124"/>
        <v>665.75676037437529</v>
      </c>
      <c r="T209" s="81">
        <f t="shared" si="124"/>
        <v>665.75676037437529</v>
      </c>
      <c r="U209" s="81">
        <f t="shared" si="124"/>
        <v>665.75676037437529</v>
      </c>
    </row>
    <row r="210" spans="1:21" s="49" customFormat="1" x14ac:dyDescent="0.25">
      <c r="A210" s="26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</row>
    <row r="211" spans="1:21" s="8" customFormat="1" x14ac:dyDescent="0.25">
      <c r="A211" s="79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75"/>
    </row>
    <row r="212" spans="1:21" s="49" customFormat="1" x14ac:dyDescent="0.25">
      <c r="A212" s="26" t="s">
        <v>133</v>
      </c>
      <c r="B212" s="26"/>
      <c r="C212" s="26"/>
      <c r="D212" s="26"/>
      <c r="E212" s="26"/>
      <c r="F212" s="26"/>
      <c r="G212" s="26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</row>
    <row r="213" spans="1:21" s="49" customFormat="1" x14ac:dyDescent="0.25">
      <c r="A213" s="26" t="s">
        <v>115</v>
      </c>
      <c r="B213" s="26"/>
      <c r="C213" s="26"/>
      <c r="D213" s="26"/>
      <c r="E213" s="26"/>
      <c r="F213" s="26"/>
      <c r="G213" s="26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</row>
    <row r="214" spans="1:21" s="49" customFormat="1" x14ac:dyDescent="0.25">
      <c r="A214" s="26"/>
      <c r="B214" s="26" t="s">
        <v>1</v>
      </c>
      <c r="C214" s="26"/>
      <c r="D214" s="26"/>
      <c r="E214" s="26"/>
      <c r="F214" s="26"/>
      <c r="G214" s="26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</row>
    <row r="215" spans="1:21" s="49" customFormat="1" x14ac:dyDescent="0.25">
      <c r="A215" s="26" t="s">
        <v>117</v>
      </c>
      <c r="B215" s="26">
        <v>1</v>
      </c>
      <c r="C215" s="26">
        <v>2</v>
      </c>
      <c r="D215" s="26">
        <v>3</v>
      </c>
      <c r="E215" s="26">
        <v>4</v>
      </c>
      <c r="F215" s="26">
        <v>5</v>
      </c>
      <c r="G215" s="26">
        <v>6</v>
      </c>
      <c r="H215" s="26">
        <v>7</v>
      </c>
      <c r="I215" s="26">
        <v>8</v>
      </c>
      <c r="J215" s="26">
        <v>9</v>
      </c>
      <c r="K215" s="26">
        <v>10</v>
      </c>
      <c r="L215" s="26">
        <v>11</v>
      </c>
      <c r="M215" s="26">
        <v>12</v>
      </c>
      <c r="N215" s="26">
        <v>13</v>
      </c>
      <c r="O215" s="26">
        <v>14</v>
      </c>
      <c r="P215" s="26">
        <v>15</v>
      </c>
      <c r="Q215" s="26">
        <v>16</v>
      </c>
      <c r="R215" s="26">
        <v>17</v>
      </c>
      <c r="S215" s="26">
        <v>18</v>
      </c>
      <c r="T215" s="26">
        <v>19</v>
      </c>
      <c r="U215" s="26">
        <v>20</v>
      </c>
    </row>
    <row r="216" spans="1:21" s="49" customFormat="1" x14ac:dyDescent="0.25">
      <c r="A216" s="26" t="s">
        <v>28</v>
      </c>
      <c r="B216" s="81">
        <f t="shared" ref="B216:U216" si="125">(($B5/$J$10*$B$141)*$B160/1000)*12/B131</f>
        <v>123.68322203098109</v>
      </c>
      <c r="C216" s="81">
        <f t="shared" si="125"/>
        <v>121.56758796992482</v>
      </c>
      <c r="D216" s="81">
        <f t="shared" si="125"/>
        <v>119.52311365736465</v>
      </c>
      <c r="E216" s="81">
        <f t="shared" si="125"/>
        <v>117.54626826608506</v>
      </c>
      <c r="F216" s="81">
        <f t="shared" si="125"/>
        <v>115.63375075987842</v>
      </c>
      <c r="G216" s="81">
        <f t="shared" si="125"/>
        <v>113.78247149894442</v>
      </c>
      <c r="H216" s="81">
        <f t="shared" si="125"/>
        <v>111.98953558441559</v>
      </c>
      <c r="I216" s="81">
        <f t="shared" si="125"/>
        <v>110.25222775315378</v>
      </c>
      <c r="J216" s="81">
        <f t="shared" si="125"/>
        <v>108.56799865704215</v>
      </c>
      <c r="K216" s="81">
        <f t="shared" si="125"/>
        <v>106.93445238095239</v>
      </c>
      <c r="L216" s="81">
        <f t="shared" si="125"/>
        <v>106.93445238095239</v>
      </c>
      <c r="M216" s="81">
        <f t="shared" si="125"/>
        <v>106.93445238095239</v>
      </c>
      <c r="N216" s="81">
        <f t="shared" si="125"/>
        <v>106.93445238095239</v>
      </c>
      <c r="O216" s="81">
        <f t="shared" si="125"/>
        <v>106.93445238095239</v>
      </c>
      <c r="P216" s="81">
        <f t="shared" si="125"/>
        <v>106.93445238095239</v>
      </c>
      <c r="Q216" s="81">
        <f t="shared" si="125"/>
        <v>106.93445238095239</v>
      </c>
      <c r="R216" s="81">
        <f t="shared" si="125"/>
        <v>106.93445238095239</v>
      </c>
      <c r="S216" s="81">
        <f t="shared" si="125"/>
        <v>106.93445238095239</v>
      </c>
      <c r="T216" s="81">
        <f t="shared" si="125"/>
        <v>106.93445238095239</v>
      </c>
      <c r="U216" s="81">
        <f t="shared" si="125"/>
        <v>106.93445238095239</v>
      </c>
    </row>
    <row r="217" spans="1:21" s="49" customFormat="1" x14ac:dyDescent="0.25">
      <c r="A217" s="26" t="s">
        <v>29</v>
      </c>
      <c r="B217" s="81">
        <f t="shared" ref="B217:U217" si="126">(($B6/$J$10*$B$141)*$B161/1000)*12/B132</f>
        <v>44.141714285714286</v>
      </c>
      <c r="C217" s="81">
        <f t="shared" si="126"/>
        <v>42.871449126413154</v>
      </c>
      <c r="D217" s="81">
        <f t="shared" si="126"/>
        <v>41.672247752247749</v>
      </c>
      <c r="E217" s="81">
        <f t="shared" si="126"/>
        <v>40.538309037900873</v>
      </c>
      <c r="F217" s="81">
        <f t="shared" si="126"/>
        <v>39.464446546830651</v>
      </c>
      <c r="G217" s="81">
        <f t="shared" si="126"/>
        <v>38.446009216589864</v>
      </c>
      <c r="H217" s="81">
        <f t="shared" si="126"/>
        <v>37.4788140161725</v>
      </c>
      <c r="I217" s="81">
        <f t="shared" si="126"/>
        <v>36.559088518843119</v>
      </c>
      <c r="J217" s="81">
        <f t="shared" si="126"/>
        <v>35.683421727972622</v>
      </c>
      <c r="K217" s="81">
        <f t="shared" si="126"/>
        <v>34.848721804511278</v>
      </c>
      <c r="L217" s="81">
        <f t="shared" si="126"/>
        <v>34.848721804511278</v>
      </c>
      <c r="M217" s="81">
        <f t="shared" si="126"/>
        <v>34.848721804511278</v>
      </c>
      <c r="N217" s="81">
        <f t="shared" si="126"/>
        <v>34.848721804511278</v>
      </c>
      <c r="O217" s="81">
        <f t="shared" si="126"/>
        <v>34.848721804511278</v>
      </c>
      <c r="P217" s="81">
        <f t="shared" si="126"/>
        <v>34.848721804511278</v>
      </c>
      <c r="Q217" s="81">
        <f t="shared" si="126"/>
        <v>34.848721804511278</v>
      </c>
      <c r="R217" s="81">
        <f t="shared" si="126"/>
        <v>34.848721804511278</v>
      </c>
      <c r="S217" s="81">
        <f t="shared" si="126"/>
        <v>34.848721804511278</v>
      </c>
      <c r="T217" s="81">
        <f t="shared" si="126"/>
        <v>34.848721804511278</v>
      </c>
      <c r="U217" s="81">
        <f t="shared" si="126"/>
        <v>34.848721804511278</v>
      </c>
    </row>
    <row r="218" spans="1:21" s="49" customFormat="1" x14ac:dyDescent="0.25">
      <c r="A218" s="26" t="s">
        <v>30</v>
      </c>
      <c r="B218" s="81">
        <f t="shared" ref="B218:U218" si="127">(($B7/$J$10*$B$141)*$B162/1000)*12/B133</f>
        <v>307.56807373271897</v>
      </c>
      <c r="C218" s="81">
        <f t="shared" si="127"/>
        <v>293.87497455968696</v>
      </c>
      <c r="D218" s="81">
        <f t="shared" si="127"/>
        <v>281.34915597189701</v>
      </c>
      <c r="E218" s="81">
        <f t="shared" si="127"/>
        <v>269.84746091644212</v>
      </c>
      <c r="F218" s="81">
        <f t="shared" si="127"/>
        <v>259.24922227017697</v>
      </c>
      <c r="G218" s="81">
        <f t="shared" si="127"/>
        <v>249.45201328903659</v>
      </c>
      <c r="H218" s="81">
        <f t="shared" si="127"/>
        <v>240.36832653061228</v>
      </c>
      <c r="I218" s="81">
        <f t="shared" si="127"/>
        <v>231.92295289575293</v>
      </c>
      <c r="J218" s="81">
        <f t="shared" si="127"/>
        <v>224.05089444237225</v>
      </c>
      <c r="K218" s="81">
        <f t="shared" si="127"/>
        <v>216.69568831168831</v>
      </c>
      <c r="L218" s="81">
        <f t="shared" si="127"/>
        <v>216.69568831168831</v>
      </c>
      <c r="M218" s="81">
        <f t="shared" si="127"/>
        <v>216.69568831168831</v>
      </c>
      <c r="N218" s="81">
        <f t="shared" si="127"/>
        <v>216.69568831168831</v>
      </c>
      <c r="O218" s="81">
        <f t="shared" si="127"/>
        <v>216.69568831168831</v>
      </c>
      <c r="P218" s="81">
        <f t="shared" si="127"/>
        <v>216.69568831168831</v>
      </c>
      <c r="Q218" s="81">
        <f t="shared" si="127"/>
        <v>216.69568831168831</v>
      </c>
      <c r="R218" s="81">
        <f t="shared" si="127"/>
        <v>216.69568831168831</v>
      </c>
      <c r="S218" s="81">
        <f t="shared" si="127"/>
        <v>216.69568831168831</v>
      </c>
      <c r="T218" s="81">
        <f t="shared" si="127"/>
        <v>216.69568831168831</v>
      </c>
      <c r="U218" s="81">
        <f t="shared" si="127"/>
        <v>216.69568831168831</v>
      </c>
    </row>
    <row r="219" spans="1:21" s="49" customFormat="1" x14ac:dyDescent="0.25">
      <c r="A219" s="26"/>
      <c r="B219" s="26"/>
      <c r="C219" s="26"/>
      <c r="D219" s="26"/>
      <c r="E219" s="26"/>
      <c r="F219" s="26"/>
      <c r="G219" s="26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</row>
    <row r="220" spans="1:21" s="49" customFormat="1" x14ac:dyDescent="0.25">
      <c r="A220" s="26"/>
      <c r="B220" s="26" t="s">
        <v>1</v>
      </c>
      <c r="C220" s="26"/>
      <c r="D220" s="26"/>
      <c r="E220" s="26"/>
      <c r="F220" s="26"/>
      <c r="G220" s="26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</row>
    <row r="221" spans="1:21" s="49" customFormat="1" x14ac:dyDescent="0.25">
      <c r="A221" s="26" t="s">
        <v>20</v>
      </c>
      <c r="B221" s="26">
        <v>1</v>
      </c>
      <c r="C221" s="26">
        <v>2</v>
      </c>
      <c r="D221" s="26">
        <v>3</v>
      </c>
      <c r="E221" s="26">
        <v>4</v>
      </c>
      <c r="F221" s="26">
        <v>5</v>
      </c>
      <c r="G221" s="26">
        <v>6</v>
      </c>
      <c r="H221" s="26">
        <v>7</v>
      </c>
      <c r="I221" s="26">
        <v>8</v>
      </c>
      <c r="J221" s="26">
        <v>9</v>
      </c>
      <c r="K221" s="26">
        <v>10</v>
      </c>
      <c r="L221" s="26">
        <v>11</v>
      </c>
      <c r="M221" s="26">
        <v>12</v>
      </c>
      <c r="N221" s="26">
        <v>13</v>
      </c>
      <c r="O221" s="26">
        <v>14</v>
      </c>
      <c r="P221" s="26">
        <v>15</v>
      </c>
      <c r="Q221" s="26">
        <v>16</v>
      </c>
      <c r="R221" s="26">
        <v>17</v>
      </c>
      <c r="S221" s="26">
        <v>18</v>
      </c>
      <c r="T221" s="26">
        <v>19</v>
      </c>
      <c r="U221" s="26">
        <v>20</v>
      </c>
    </row>
    <row r="222" spans="1:21" s="49" customFormat="1" x14ac:dyDescent="0.25">
      <c r="A222" s="26" t="s">
        <v>28</v>
      </c>
      <c r="B222" s="81">
        <f t="shared" ref="B222:U222" si="128">(($C5/$J$10*$B$141)*$B160/1000)*12/B136</f>
        <v>90.122666666666674</v>
      </c>
      <c r="C222" s="81">
        <f t="shared" si="128"/>
        <v>88.846712369597626</v>
      </c>
      <c r="D222" s="81">
        <f t="shared" si="128"/>
        <v>87.606383541513594</v>
      </c>
      <c r="E222" s="81">
        <f t="shared" si="128"/>
        <v>86.400208695652182</v>
      </c>
      <c r="F222" s="81">
        <f t="shared" si="128"/>
        <v>85.226796283059329</v>
      </c>
      <c r="G222" s="81">
        <f t="shared" si="128"/>
        <v>84.084829337094519</v>
      </c>
      <c r="H222" s="81">
        <f t="shared" si="128"/>
        <v>82.973060542797498</v>
      </c>
      <c r="I222" s="81">
        <f t="shared" si="128"/>
        <v>81.890307692307715</v>
      </c>
      <c r="J222" s="81">
        <f t="shared" si="128"/>
        <v>80.835449491525438</v>
      </c>
      <c r="K222" s="81">
        <f t="shared" si="128"/>
        <v>79.807421686747006</v>
      </c>
      <c r="L222" s="81">
        <f t="shared" si="128"/>
        <v>79.807421686747006</v>
      </c>
      <c r="M222" s="81">
        <f t="shared" si="128"/>
        <v>79.807421686747006</v>
      </c>
      <c r="N222" s="81">
        <f t="shared" si="128"/>
        <v>79.807421686747006</v>
      </c>
      <c r="O222" s="81">
        <f t="shared" si="128"/>
        <v>79.807421686747006</v>
      </c>
      <c r="P222" s="81">
        <f t="shared" si="128"/>
        <v>79.807421686747006</v>
      </c>
      <c r="Q222" s="81">
        <f t="shared" si="128"/>
        <v>79.807421686747006</v>
      </c>
      <c r="R222" s="81">
        <f t="shared" si="128"/>
        <v>79.807421686747006</v>
      </c>
      <c r="S222" s="81">
        <f t="shared" si="128"/>
        <v>79.807421686747006</v>
      </c>
      <c r="T222" s="81">
        <f t="shared" si="128"/>
        <v>79.807421686747006</v>
      </c>
      <c r="U222" s="81">
        <f t="shared" si="128"/>
        <v>79.807421686747006</v>
      </c>
    </row>
    <row r="223" spans="1:21" s="49" customFormat="1" x14ac:dyDescent="0.25">
      <c r="A223" s="26" t="s">
        <v>29</v>
      </c>
      <c r="B223" s="81">
        <f t="shared" ref="B223:U223" si="129">(($C6/$J$10*$B$141)*$B161/1000)*12/B137</f>
        <v>322.24984126984128</v>
      </c>
      <c r="C223" s="81">
        <f t="shared" si="129"/>
        <v>307.99099873577745</v>
      </c>
      <c r="D223" s="81">
        <f t="shared" si="129"/>
        <v>294.94053268765134</v>
      </c>
      <c r="E223" s="81">
        <f t="shared" si="129"/>
        <v>282.95108013937283</v>
      </c>
      <c r="F223" s="81">
        <f t="shared" si="129"/>
        <v>271.89830357142858</v>
      </c>
      <c r="G223" s="81">
        <f t="shared" si="129"/>
        <v>261.6765628356606</v>
      </c>
      <c r="H223" s="81">
        <f t="shared" si="129"/>
        <v>252.19552795031055</v>
      </c>
      <c r="I223" s="81">
        <f t="shared" si="129"/>
        <v>243.37750249750249</v>
      </c>
      <c r="J223" s="81">
        <f t="shared" si="129"/>
        <v>235.1552895752896</v>
      </c>
      <c r="K223" s="81">
        <f t="shared" si="129"/>
        <v>227.47047619047621</v>
      </c>
      <c r="L223" s="81">
        <f t="shared" si="129"/>
        <v>227.47047619047621</v>
      </c>
      <c r="M223" s="81">
        <f t="shared" si="129"/>
        <v>227.47047619047621</v>
      </c>
      <c r="N223" s="81">
        <f t="shared" si="129"/>
        <v>227.47047619047621</v>
      </c>
      <c r="O223" s="81">
        <f t="shared" si="129"/>
        <v>227.47047619047621</v>
      </c>
      <c r="P223" s="81">
        <f t="shared" si="129"/>
        <v>227.47047619047621</v>
      </c>
      <c r="Q223" s="81">
        <f t="shared" si="129"/>
        <v>227.47047619047621</v>
      </c>
      <c r="R223" s="81">
        <f t="shared" si="129"/>
        <v>227.47047619047621</v>
      </c>
      <c r="S223" s="81">
        <f t="shared" si="129"/>
        <v>227.47047619047621</v>
      </c>
      <c r="T223" s="81">
        <f t="shared" si="129"/>
        <v>227.47047619047621</v>
      </c>
      <c r="U223" s="81">
        <f t="shared" si="129"/>
        <v>227.47047619047621</v>
      </c>
    </row>
    <row r="224" spans="1:21" s="49" customFormat="1" x14ac:dyDescent="0.25">
      <c r="A224" s="26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</row>
    <row r="225" spans="1:21" s="49" customFormat="1" x14ac:dyDescent="0.25">
      <c r="A225" s="26" t="s">
        <v>118</v>
      </c>
      <c r="B225" s="81">
        <f>SUM(B216:B218,B222:B223)</f>
        <v>887.76551798592232</v>
      </c>
      <c r="C225" s="81">
        <f t="shared" ref="C225:U225" si="130">SUM(C216:C218,C222:C223)</f>
        <v>855.15172276140004</v>
      </c>
      <c r="D225" s="81">
        <f t="shared" si="130"/>
        <v>825.09143361067436</v>
      </c>
      <c r="E225" s="81">
        <f t="shared" si="130"/>
        <v>797.28332705545313</v>
      </c>
      <c r="F225" s="81">
        <f t="shared" si="130"/>
        <v>771.47251943137394</v>
      </c>
      <c r="G225" s="81">
        <f t="shared" si="130"/>
        <v>747.44188617732596</v>
      </c>
      <c r="H225" s="81">
        <f t="shared" si="130"/>
        <v>725.00526462430844</v>
      </c>
      <c r="I225" s="81">
        <f t="shared" si="130"/>
        <v>704.00207935756009</v>
      </c>
      <c r="J225" s="81">
        <f t="shared" si="130"/>
        <v>684.2930538942021</v>
      </c>
      <c r="K225" s="81">
        <f t="shared" si="130"/>
        <v>665.75676037437529</v>
      </c>
      <c r="L225" s="81">
        <f t="shared" si="130"/>
        <v>665.75676037437529</v>
      </c>
      <c r="M225" s="81">
        <f t="shared" si="130"/>
        <v>665.75676037437529</v>
      </c>
      <c r="N225" s="81">
        <f t="shared" si="130"/>
        <v>665.75676037437529</v>
      </c>
      <c r="O225" s="81">
        <f t="shared" si="130"/>
        <v>665.75676037437529</v>
      </c>
      <c r="P225" s="81">
        <f t="shared" si="130"/>
        <v>665.75676037437529</v>
      </c>
      <c r="Q225" s="81">
        <f t="shared" si="130"/>
        <v>665.75676037437529</v>
      </c>
      <c r="R225" s="81">
        <f t="shared" si="130"/>
        <v>665.75676037437529</v>
      </c>
      <c r="S225" s="81">
        <f t="shared" si="130"/>
        <v>665.75676037437529</v>
      </c>
      <c r="T225" s="81">
        <f t="shared" si="130"/>
        <v>665.75676037437529</v>
      </c>
      <c r="U225" s="81">
        <f t="shared" si="130"/>
        <v>665.75676037437529</v>
      </c>
    </row>
    <row r="226" spans="1:21" s="49" customFormat="1" x14ac:dyDescent="0.25">
      <c r="A226" s="26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</row>
    <row r="227" spans="1:21" s="83" customFormat="1" x14ac:dyDescent="0.25">
      <c r="A227" s="19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</row>
    <row r="228" spans="1:21" s="8" customFormat="1" x14ac:dyDescent="0.25">
      <c r="A228" s="19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</row>
    <row r="229" spans="1:21" s="8" customFormat="1" x14ac:dyDescent="0.25">
      <c r="A229" s="26"/>
      <c r="B229" s="145" t="s">
        <v>191</v>
      </c>
      <c r="C229" s="145"/>
      <c r="D229" s="14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</row>
    <row r="230" spans="1:21" s="8" customFormat="1" x14ac:dyDescent="0.25">
      <c r="A230" s="26"/>
      <c r="B230" s="124" t="s">
        <v>11</v>
      </c>
      <c r="C230" s="124" t="s">
        <v>12</v>
      </c>
      <c r="D230" s="124" t="s">
        <v>13</v>
      </c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</row>
    <row r="231" spans="1:21" x14ac:dyDescent="0.25">
      <c r="A231" s="26" t="s">
        <v>215</v>
      </c>
      <c r="B231" s="123" t="s">
        <v>4</v>
      </c>
      <c r="C231" s="123" t="s">
        <v>4</v>
      </c>
      <c r="D231" s="123" t="s">
        <v>4</v>
      </c>
      <c r="E231" s="75"/>
      <c r="F231" s="8"/>
      <c r="G231" s="5"/>
    </row>
    <row r="232" spans="1:21" x14ac:dyDescent="0.25">
      <c r="A232" s="26" t="s">
        <v>134</v>
      </c>
      <c r="B232" s="28">
        <f>SUMPRODUCT($B$177:F$177,'disc rate calcs'!$F$4:J$4)-SUMPRODUCT($B193:F193,'disc rate calcs'!$F$4:J$4)</f>
        <v>1034.8544989825082</v>
      </c>
      <c r="C232" s="28">
        <f>SUMPRODUCT($B$177:K$177,'disc rate calcs'!$F$4:O$4)-SUMPRODUCT($B193:K193,'disc rate calcs'!$F$4:O$4)</f>
        <v>2029.9737997100483</v>
      </c>
      <c r="D232" s="28">
        <f>SUMPRODUCT($B$177:U$177,'disc rate calcs'!$F$4:Y$4)-SUMPRODUCT($B193:U193,'disc rate calcs'!$F$4:Y$4)</f>
        <v>3278.3740631969877</v>
      </c>
      <c r="E232" s="91" t="s">
        <v>204</v>
      </c>
      <c r="F232" s="91"/>
      <c r="G232" s="5"/>
    </row>
    <row r="233" spans="1:21" x14ac:dyDescent="0.25">
      <c r="A233" s="26" t="s">
        <v>135</v>
      </c>
      <c r="B233" s="28">
        <f>SUMPRODUCT($B$177:F$177,'disc rate calcs'!$F$4:J$4)-SUMPRODUCT($B209:F209,'disc rate calcs'!$F$4:J$4)</f>
        <v>471.78246122359315</v>
      </c>
      <c r="C233" s="28">
        <f>SUMPRODUCT($B$177:K$177,'disc rate calcs'!$F$4:O$4)-SUMPRODUCT($B209:K209,'disc rate calcs'!$F$4:O$4)</f>
        <v>1105.5798506968367</v>
      </c>
      <c r="D233" s="28">
        <f>SUMPRODUCT($B$177:U$177,'disc rate calcs'!$F$4:Y$4)-SUMPRODUCT($B209:U209,'disc rate calcs'!$F$4:Y$4)</f>
        <v>1830.5025278652638</v>
      </c>
      <c r="E233" s="75"/>
      <c r="F233" s="75"/>
      <c r="G233" s="5"/>
    </row>
    <row r="234" spans="1:21" x14ac:dyDescent="0.25">
      <c r="A234" s="26" t="s">
        <v>166</v>
      </c>
      <c r="B234" s="28">
        <f>SUMPRODUCT($B$177:F$177,'disc rate calcs'!$F$4:J$4)-SUMPRODUCT($B225:F225,'disc rate calcs'!$F$4:J$4)</f>
        <v>242.19593886476059</v>
      </c>
      <c r="C234" s="28">
        <f>SUMPRODUCT($B$177:K$177,'disc rate calcs'!$F$4:O$4)-SUMPRODUCT($B225:K225,'disc rate calcs'!$F$4:O$4)</f>
        <v>755.46136486879732</v>
      </c>
      <c r="D234" s="28">
        <f>SUMPRODUCT($B$177:U$177,'disc rate calcs'!$F$4:Y$4)-SUMPRODUCT($B225:U225,'disc rate calcs'!$F$4:Y$4)</f>
        <v>1480.3840420372244</v>
      </c>
      <c r="E234" s="75"/>
      <c r="F234" s="75"/>
      <c r="G234" s="5"/>
    </row>
    <row r="235" spans="1:21" x14ac:dyDescent="0.25">
      <c r="A235" s="5"/>
      <c r="B235" s="5"/>
      <c r="C235" s="5"/>
      <c r="D235" s="5"/>
      <c r="E235" s="5"/>
      <c r="F235" s="5"/>
      <c r="G235" s="5"/>
    </row>
    <row r="236" spans="1:21" x14ac:dyDescent="0.25">
      <c r="A236" s="5"/>
      <c r="B236" s="5"/>
      <c r="C236" s="5"/>
      <c r="D236" s="5"/>
      <c r="E236" s="5"/>
      <c r="F236" s="5"/>
      <c r="G236" s="5"/>
    </row>
    <row r="237" spans="1:21" x14ac:dyDescent="0.25">
      <c r="A237" s="5"/>
      <c r="B237" s="5"/>
      <c r="C237" s="5"/>
      <c r="D237" s="5"/>
      <c r="E237" s="5"/>
      <c r="F237" s="5"/>
      <c r="G237" s="5"/>
    </row>
    <row r="238" spans="1:21" x14ac:dyDescent="0.25">
      <c r="A238" s="5"/>
      <c r="B238" s="5"/>
      <c r="C238" s="5"/>
      <c r="D238" s="5"/>
      <c r="E238" s="5"/>
      <c r="F238" s="5"/>
      <c r="G238" s="5"/>
    </row>
    <row r="239" spans="1:21" x14ac:dyDescent="0.25">
      <c r="A239" s="5"/>
      <c r="B239" s="5"/>
      <c r="C239" s="5"/>
      <c r="D239" s="5"/>
      <c r="E239" s="5"/>
      <c r="F239" s="5"/>
      <c r="G239" s="5"/>
    </row>
    <row r="240" spans="1:21" x14ac:dyDescent="0.25">
      <c r="A240" s="5"/>
      <c r="B240" s="5"/>
      <c r="C240" s="5"/>
      <c r="D240" s="5"/>
      <c r="E240" s="5"/>
      <c r="F240" s="5"/>
      <c r="G240" s="5"/>
    </row>
    <row r="241" spans="1:7" x14ac:dyDescent="0.25">
      <c r="A241" s="5"/>
      <c r="B241" s="5"/>
      <c r="C241" s="5"/>
      <c r="D241" s="5"/>
      <c r="E241" s="5"/>
      <c r="F241" s="5"/>
      <c r="G241" s="5"/>
    </row>
    <row r="242" spans="1:7" x14ac:dyDescent="0.25">
      <c r="A242" s="5"/>
      <c r="B242" s="5"/>
      <c r="C242" s="5"/>
      <c r="D242" s="5"/>
      <c r="E242" s="5"/>
      <c r="F242" s="5"/>
      <c r="G242" s="5"/>
    </row>
    <row r="243" spans="1:7" x14ac:dyDescent="0.25">
      <c r="A243" s="5"/>
      <c r="B243" s="5"/>
      <c r="C243" s="5"/>
      <c r="D243" s="5"/>
      <c r="E243" s="5"/>
      <c r="F243" s="5"/>
      <c r="G243" s="5"/>
    </row>
    <row r="244" spans="1:7" x14ac:dyDescent="0.25">
      <c r="A244" s="5"/>
      <c r="B244" s="5"/>
      <c r="C244" s="5"/>
      <c r="D244" s="5"/>
      <c r="E244" s="5"/>
      <c r="F244" s="5"/>
      <c r="G244" s="5"/>
    </row>
    <row r="245" spans="1:7" x14ac:dyDescent="0.25">
      <c r="A245" s="5"/>
      <c r="B245" s="5"/>
      <c r="C245" s="5"/>
      <c r="D245" s="5"/>
      <c r="E245" s="5"/>
      <c r="F245" s="5"/>
      <c r="G245" s="5"/>
    </row>
    <row r="246" spans="1:7" x14ac:dyDescent="0.25">
      <c r="A246" s="5"/>
      <c r="B246" s="5"/>
      <c r="C246" s="5"/>
      <c r="D246" s="5"/>
      <c r="E246" s="5"/>
      <c r="F246" s="5"/>
      <c r="G246" s="5"/>
    </row>
    <row r="247" spans="1:7" x14ac:dyDescent="0.25">
      <c r="A247" s="5"/>
      <c r="B247" s="5"/>
      <c r="C247" s="5"/>
      <c r="D247" s="5"/>
      <c r="E247" s="5"/>
      <c r="F247" s="5"/>
      <c r="G247" s="5"/>
    </row>
    <row r="248" spans="1:7" x14ac:dyDescent="0.25">
      <c r="A248" s="5"/>
      <c r="B248" s="5"/>
      <c r="C248" s="5"/>
      <c r="D248" s="5"/>
      <c r="E248" s="5"/>
      <c r="F248" s="5"/>
      <c r="G248" s="5"/>
    </row>
    <row r="249" spans="1:7" x14ac:dyDescent="0.25">
      <c r="A249" s="5"/>
      <c r="B249" s="5"/>
      <c r="C249" s="5"/>
      <c r="D249" s="5"/>
      <c r="E249" s="5"/>
      <c r="F249" s="5"/>
      <c r="G249" s="5"/>
    </row>
    <row r="250" spans="1:7" x14ac:dyDescent="0.25">
      <c r="A250" s="5"/>
      <c r="B250" s="5"/>
      <c r="C250" s="5"/>
      <c r="D250" s="5"/>
      <c r="E250" s="5"/>
      <c r="F250" s="5"/>
      <c r="G250" s="5"/>
    </row>
    <row r="251" spans="1:7" x14ac:dyDescent="0.25">
      <c r="A251" s="5"/>
      <c r="B251" s="5"/>
      <c r="C251" s="5"/>
      <c r="D251" s="5"/>
      <c r="E251" s="5"/>
      <c r="F251" s="5"/>
      <c r="G251" s="5"/>
    </row>
    <row r="252" spans="1:7" x14ac:dyDescent="0.25">
      <c r="A252" s="5"/>
      <c r="B252" s="5"/>
      <c r="C252" s="5"/>
      <c r="D252" s="5"/>
      <c r="E252" s="5"/>
      <c r="F252" s="5"/>
      <c r="G252" s="5"/>
    </row>
    <row r="253" spans="1:7" x14ac:dyDescent="0.25">
      <c r="A253" s="5"/>
      <c r="B253" s="5"/>
      <c r="C253" s="5"/>
      <c r="D253" s="5"/>
      <c r="E253" s="5"/>
      <c r="F253" s="5"/>
      <c r="G253" s="5"/>
    </row>
  </sheetData>
  <mergeCells count="1">
    <mergeCell ref="B229:D229"/>
  </mergeCells>
  <pageMargins left="0.7" right="0.7" top="0.75" bottom="0.75" header="0.3" footer="0.3"/>
  <pageSetup paperSize="8" scale="80" orientation="landscape" horizontalDpi="4294967293" verticalDpi="4294967293" r:id="rId1"/>
  <rowBreaks count="4" manualBreakCount="4">
    <brk id="56" max="16383" man="1"/>
    <brk id="97" max="16383" man="1"/>
    <brk id="138" max="16383" man="1"/>
    <brk id="19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1"/>
  <sheetViews>
    <sheetView view="pageBreakPreview" topLeftCell="A16" zoomScale="60" zoomScaleNormal="100" workbookViewId="0"/>
  </sheetViews>
  <sheetFormatPr defaultRowHeight="15" x14ac:dyDescent="0.25"/>
  <cols>
    <col min="1" max="1" width="56.42578125" customWidth="1"/>
  </cols>
  <sheetData>
    <row r="1" spans="1:21" x14ac:dyDescent="0.25">
      <c r="A1" s="46" t="s">
        <v>198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1" x14ac:dyDescent="0.25">
      <c r="B2" s="5" t="s">
        <v>25</v>
      </c>
      <c r="C2" s="5"/>
      <c r="D2" s="5"/>
      <c r="E2" s="5"/>
      <c r="F2" s="5"/>
      <c r="G2" s="5"/>
    </row>
    <row r="3" spans="1:21" x14ac:dyDescent="0.25">
      <c r="A3" s="5"/>
      <c r="B3" s="5" t="s">
        <v>23</v>
      </c>
      <c r="C3" s="5"/>
      <c r="D3" s="5"/>
      <c r="E3" s="5"/>
      <c r="G3" s="5"/>
      <c r="J3" s="5"/>
    </row>
    <row r="4" spans="1:21" x14ac:dyDescent="0.25">
      <c r="A4" s="5" t="s">
        <v>18</v>
      </c>
      <c r="B4" s="19">
        <f>'Benefits_freq chng_DUML'!B4</f>
        <v>65</v>
      </c>
      <c r="C4" s="5"/>
      <c r="D4" s="5"/>
      <c r="E4" s="5"/>
      <c r="G4" s="5"/>
      <c r="J4" s="5"/>
    </row>
    <row r="6" spans="1:21" x14ac:dyDescent="0.25">
      <c r="A6" s="5" t="s">
        <v>56</v>
      </c>
    </row>
    <row r="7" spans="1:21" x14ac:dyDescent="0.25">
      <c r="A7" s="5"/>
    </row>
    <row r="8" spans="1:21" x14ac:dyDescent="0.25">
      <c r="A8" s="78" t="s">
        <v>164</v>
      </c>
    </row>
    <row r="9" spans="1:21" x14ac:dyDescent="0.25">
      <c r="A9" s="5" t="s">
        <v>160</v>
      </c>
    </row>
    <row r="10" spans="1:21" x14ac:dyDescent="0.25">
      <c r="B10" s="5" t="s">
        <v>23</v>
      </c>
      <c r="G10" s="37"/>
      <c r="H10" s="45"/>
    </row>
    <row r="11" spans="1:21" s="5" customFormat="1" x14ac:dyDescent="0.25">
      <c r="A11" s="5" t="s">
        <v>1</v>
      </c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  <c r="P11" s="5">
        <v>15</v>
      </c>
      <c r="Q11" s="5">
        <v>16</v>
      </c>
      <c r="R11" s="5">
        <v>17</v>
      </c>
      <c r="S11" s="5">
        <v>18</v>
      </c>
      <c r="T11" s="5">
        <v>19</v>
      </c>
      <c r="U11" s="5">
        <v>20</v>
      </c>
    </row>
    <row r="12" spans="1:21" x14ac:dyDescent="0.25">
      <c r="A12" s="5" t="s">
        <v>57</v>
      </c>
      <c r="B12" s="84">
        <f>'Benefits_freq chng_DUML'!B9</f>
        <v>0.5</v>
      </c>
      <c r="C12" s="84">
        <v>0.25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</row>
    <row r="13" spans="1:21" x14ac:dyDescent="0.25">
      <c r="A13" s="5" t="s">
        <v>58</v>
      </c>
      <c r="B13" s="24">
        <f>1-B12</f>
        <v>0.5</v>
      </c>
      <c r="C13" s="24">
        <f t="shared" ref="C13:U13" si="0">1-C12</f>
        <v>0.75</v>
      </c>
      <c r="D13" s="24">
        <f t="shared" si="0"/>
        <v>1</v>
      </c>
      <c r="E13" s="24">
        <f t="shared" si="0"/>
        <v>1</v>
      </c>
      <c r="F13" s="24">
        <f t="shared" si="0"/>
        <v>1</v>
      </c>
      <c r="G13" s="24">
        <f t="shared" si="0"/>
        <v>1</v>
      </c>
      <c r="H13" s="24">
        <f t="shared" si="0"/>
        <v>1</v>
      </c>
      <c r="I13" s="24">
        <f t="shared" si="0"/>
        <v>1</v>
      </c>
      <c r="J13" s="24">
        <f t="shared" si="0"/>
        <v>1</v>
      </c>
      <c r="K13" s="24">
        <f t="shared" si="0"/>
        <v>1</v>
      </c>
      <c r="L13" s="24">
        <f t="shared" si="0"/>
        <v>1</v>
      </c>
      <c r="M13" s="24">
        <f t="shared" si="0"/>
        <v>1</v>
      </c>
      <c r="N13" s="24">
        <f t="shared" si="0"/>
        <v>1</v>
      </c>
      <c r="O13" s="24">
        <f t="shared" si="0"/>
        <v>1</v>
      </c>
      <c r="P13" s="24">
        <f t="shared" si="0"/>
        <v>1</v>
      </c>
      <c r="Q13" s="24">
        <f t="shared" si="0"/>
        <v>1</v>
      </c>
      <c r="R13" s="24">
        <f t="shared" si="0"/>
        <v>1</v>
      </c>
      <c r="S13" s="24">
        <f t="shared" si="0"/>
        <v>1</v>
      </c>
      <c r="T13" s="24">
        <f t="shared" si="0"/>
        <v>1</v>
      </c>
      <c r="U13" s="24">
        <f t="shared" si="0"/>
        <v>1</v>
      </c>
    </row>
    <row r="15" spans="1:21" x14ac:dyDescent="0.25">
      <c r="A15" s="5" t="s">
        <v>46</v>
      </c>
    </row>
    <row r="16" spans="1:21" x14ac:dyDescent="0.25">
      <c r="A16" s="30" t="s">
        <v>47</v>
      </c>
    </row>
    <row r="17" spans="1:21" x14ac:dyDescent="0.25">
      <c r="B17" s="5" t="s">
        <v>25</v>
      </c>
    </row>
    <row r="18" spans="1:21" x14ac:dyDescent="0.25">
      <c r="A18" s="5" t="s">
        <v>59</v>
      </c>
      <c r="B18" s="5" t="s">
        <v>23</v>
      </c>
    </row>
    <row r="19" spans="1:21" x14ac:dyDescent="0.25">
      <c r="A19" s="5" t="s">
        <v>57</v>
      </c>
      <c r="B19" s="8">
        <f>'Benefits_freq chng_DUML'!B16</f>
        <v>6</v>
      </c>
    </row>
    <row r="20" spans="1:21" x14ac:dyDescent="0.25">
      <c r="A20" s="5" t="s">
        <v>58</v>
      </c>
      <c r="B20" s="8">
        <f>'Benefits_freq chng_DUML'!B17</f>
        <v>24</v>
      </c>
    </row>
    <row r="21" spans="1:21" x14ac:dyDescent="0.25">
      <c r="A21" s="5"/>
      <c r="B21" s="8"/>
    </row>
    <row r="22" spans="1:21" x14ac:dyDescent="0.25">
      <c r="A22" s="5" t="s">
        <v>1</v>
      </c>
      <c r="B22" s="5">
        <v>1</v>
      </c>
      <c r="C22" s="5">
        <v>2</v>
      </c>
      <c r="D22" s="5">
        <v>3</v>
      </c>
      <c r="E22" s="5">
        <v>4</v>
      </c>
      <c r="F22" s="5">
        <v>5</v>
      </c>
      <c r="G22" s="5">
        <v>6</v>
      </c>
      <c r="H22" s="5">
        <v>7</v>
      </c>
      <c r="I22" s="5">
        <v>8</v>
      </c>
      <c r="J22" s="5">
        <v>9</v>
      </c>
      <c r="K22" s="5">
        <v>10</v>
      </c>
      <c r="L22" s="5">
        <v>11</v>
      </c>
      <c r="M22" s="5">
        <v>12</v>
      </c>
      <c r="N22" s="5">
        <v>13</v>
      </c>
      <c r="O22" s="5">
        <v>14</v>
      </c>
      <c r="P22" s="5">
        <v>15</v>
      </c>
      <c r="Q22" s="5">
        <v>16</v>
      </c>
      <c r="R22" s="5">
        <v>17</v>
      </c>
      <c r="S22" s="5">
        <v>18</v>
      </c>
      <c r="T22" s="5">
        <v>19</v>
      </c>
      <c r="U22" s="5">
        <v>20</v>
      </c>
    </row>
    <row r="23" spans="1:21" x14ac:dyDescent="0.25">
      <c r="A23" s="5" t="s">
        <v>159</v>
      </c>
      <c r="B23">
        <f t="shared" ref="B23:U23" si="1">B12*$B19+B13*$B20</f>
        <v>15</v>
      </c>
      <c r="C23">
        <f t="shared" si="1"/>
        <v>19.5</v>
      </c>
      <c r="D23">
        <f t="shared" si="1"/>
        <v>24</v>
      </c>
      <c r="E23">
        <f t="shared" si="1"/>
        <v>24</v>
      </c>
      <c r="F23">
        <f t="shared" si="1"/>
        <v>24</v>
      </c>
      <c r="G23">
        <f t="shared" si="1"/>
        <v>24</v>
      </c>
      <c r="H23">
        <f t="shared" si="1"/>
        <v>24</v>
      </c>
      <c r="I23">
        <f t="shared" si="1"/>
        <v>24</v>
      </c>
      <c r="J23">
        <f t="shared" si="1"/>
        <v>24</v>
      </c>
      <c r="K23">
        <f t="shared" si="1"/>
        <v>24</v>
      </c>
      <c r="L23">
        <f t="shared" si="1"/>
        <v>24</v>
      </c>
      <c r="M23">
        <f t="shared" si="1"/>
        <v>24</v>
      </c>
      <c r="N23">
        <f t="shared" si="1"/>
        <v>24</v>
      </c>
      <c r="O23">
        <f t="shared" si="1"/>
        <v>24</v>
      </c>
      <c r="P23">
        <f t="shared" si="1"/>
        <v>24</v>
      </c>
      <c r="Q23">
        <f t="shared" si="1"/>
        <v>24</v>
      </c>
      <c r="R23">
        <f t="shared" si="1"/>
        <v>24</v>
      </c>
      <c r="S23">
        <f t="shared" si="1"/>
        <v>24</v>
      </c>
      <c r="T23">
        <f t="shared" si="1"/>
        <v>24</v>
      </c>
      <c r="U23">
        <f t="shared" si="1"/>
        <v>24</v>
      </c>
    </row>
    <row r="24" spans="1:21" x14ac:dyDescent="0.25">
      <c r="A24" s="5"/>
    </row>
    <row r="25" spans="1:21" x14ac:dyDescent="0.25">
      <c r="A25" s="78" t="s">
        <v>128</v>
      </c>
    </row>
    <row r="26" spans="1:21" x14ac:dyDescent="0.25">
      <c r="A26" s="5" t="s">
        <v>161</v>
      </c>
    </row>
    <row r="27" spans="1:21" x14ac:dyDescent="0.25">
      <c r="B27" s="5" t="s">
        <v>23</v>
      </c>
      <c r="G27" s="37"/>
      <c r="H27" s="45"/>
    </row>
    <row r="28" spans="1:21" s="5" customFormat="1" x14ac:dyDescent="0.25">
      <c r="A28" s="5" t="s">
        <v>1</v>
      </c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5">
        <v>7</v>
      </c>
      <c r="I28" s="5">
        <v>8</v>
      </c>
      <c r="J28" s="5">
        <v>9</v>
      </c>
      <c r="K28" s="5">
        <v>10</v>
      </c>
      <c r="L28" s="5">
        <v>11</v>
      </c>
      <c r="M28" s="5">
        <v>12</v>
      </c>
      <c r="N28" s="5">
        <v>13</v>
      </c>
      <c r="O28" s="5">
        <v>14</v>
      </c>
      <c r="P28" s="5">
        <v>15</v>
      </c>
      <c r="Q28" s="5">
        <v>16</v>
      </c>
      <c r="R28" s="5">
        <v>17</v>
      </c>
      <c r="S28" s="5">
        <v>18</v>
      </c>
      <c r="T28" s="5">
        <v>19</v>
      </c>
      <c r="U28" s="5">
        <v>20</v>
      </c>
    </row>
    <row r="29" spans="1:21" x14ac:dyDescent="0.25">
      <c r="A29" s="5" t="s">
        <v>57</v>
      </c>
      <c r="B29" s="4">
        <f>50%</f>
        <v>0.5</v>
      </c>
      <c r="C29" s="4">
        <v>0.4</v>
      </c>
      <c r="D29" s="4">
        <v>0.3</v>
      </c>
      <c r="E29" s="4">
        <v>0.2</v>
      </c>
      <c r="F29" s="4">
        <v>0.1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</row>
    <row r="30" spans="1:21" x14ac:dyDescent="0.25">
      <c r="A30" s="5" t="s">
        <v>58</v>
      </c>
      <c r="B30" s="24">
        <f>1-B29</f>
        <v>0.5</v>
      </c>
      <c r="C30" s="24">
        <f t="shared" ref="C30:U30" si="2">1-C29</f>
        <v>0.6</v>
      </c>
      <c r="D30" s="24">
        <f t="shared" si="2"/>
        <v>0.7</v>
      </c>
      <c r="E30" s="24">
        <f t="shared" si="2"/>
        <v>0.8</v>
      </c>
      <c r="F30" s="24">
        <f t="shared" si="2"/>
        <v>0.9</v>
      </c>
      <c r="G30" s="24">
        <f t="shared" si="2"/>
        <v>1</v>
      </c>
      <c r="H30" s="24">
        <f t="shared" si="2"/>
        <v>1</v>
      </c>
      <c r="I30" s="24">
        <f t="shared" si="2"/>
        <v>1</v>
      </c>
      <c r="J30" s="24">
        <f t="shared" si="2"/>
        <v>1</v>
      </c>
      <c r="K30" s="24">
        <f t="shared" si="2"/>
        <v>1</v>
      </c>
      <c r="L30" s="24">
        <f t="shared" si="2"/>
        <v>1</v>
      </c>
      <c r="M30" s="24">
        <f t="shared" si="2"/>
        <v>1</v>
      </c>
      <c r="N30" s="24">
        <f t="shared" si="2"/>
        <v>1</v>
      </c>
      <c r="O30" s="24">
        <f t="shared" si="2"/>
        <v>1</v>
      </c>
      <c r="P30" s="24">
        <f t="shared" si="2"/>
        <v>1</v>
      </c>
      <c r="Q30" s="24">
        <f t="shared" si="2"/>
        <v>1</v>
      </c>
      <c r="R30" s="24">
        <f t="shared" si="2"/>
        <v>1</v>
      </c>
      <c r="S30" s="24">
        <f t="shared" si="2"/>
        <v>1</v>
      </c>
      <c r="T30" s="24">
        <f t="shared" si="2"/>
        <v>1</v>
      </c>
      <c r="U30" s="24">
        <f t="shared" si="2"/>
        <v>1</v>
      </c>
    </row>
    <row r="32" spans="1:21" x14ac:dyDescent="0.25">
      <c r="A32" s="5" t="s">
        <v>46</v>
      </c>
    </row>
    <row r="33" spans="1:21" x14ac:dyDescent="0.25">
      <c r="A33" s="30" t="s">
        <v>47</v>
      </c>
    </row>
    <row r="34" spans="1:21" x14ac:dyDescent="0.25">
      <c r="B34" s="5" t="s">
        <v>25</v>
      </c>
    </row>
    <row r="35" spans="1:21" x14ac:dyDescent="0.25">
      <c r="A35" s="5" t="s">
        <v>59</v>
      </c>
      <c r="B35" s="5" t="s">
        <v>23</v>
      </c>
    </row>
    <row r="36" spans="1:21" x14ac:dyDescent="0.25">
      <c r="A36" s="5" t="s">
        <v>57</v>
      </c>
      <c r="B36" s="2">
        <v>6</v>
      </c>
    </row>
    <row r="37" spans="1:21" x14ac:dyDescent="0.25">
      <c r="A37" s="5" t="s">
        <v>58</v>
      </c>
      <c r="B37" s="2">
        <v>24</v>
      </c>
    </row>
    <row r="38" spans="1:21" x14ac:dyDescent="0.25">
      <c r="A38" s="5"/>
      <c r="B38" s="8"/>
    </row>
    <row r="39" spans="1:21" x14ac:dyDescent="0.25">
      <c r="A39" s="5" t="s">
        <v>1</v>
      </c>
      <c r="B39" s="5">
        <v>1</v>
      </c>
      <c r="C39" s="5">
        <v>2</v>
      </c>
      <c r="D39" s="5">
        <v>3</v>
      </c>
      <c r="E39" s="5">
        <v>4</v>
      </c>
      <c r="F39" s="5">
        <v>5</v>
      </c>
      <c r="G39" s="5">
        <v>6</v>
      </c>
      <c r="H39" s="5">
        <v>7</v>
      </c>
      <c r="I39" s="5">
        <v>8</v>
      </c>
      <c r="J39" s="5">
        <v>9</v>
      </c>
      <c r="K39" s="5">
        <v>10</v>
      </c>
      <c r="L39" s="5">
        <v>11</v>
      </c>
      <c r="M39" s="5">
        <v>12</v>
      </c>
      <c r="N39" s="5">
        <v>13</v>
      </c>
      <c r="O39" s="5">
        <v>14</v>
      </c>
      <c r="P39" s="5">
        <v>15</v>
      </c>
      <c r="Q39" s="5">
        <v>16</v>
      </c>
      <c r="R39" s="5">
        <v>17</v>
      </c>
      <c r="S39" s="5">
        <v>18</v>
      </c>
      <c r="T39" s="5">
        <v>19</v>
      </c>
      <c r="U39" s="5">
        <v>20</v>
      </c>
    </row>
    <row r="40" spans="1:21" x14ac:dyDescent="0.25">
      <c r="A40" s="5" t="s">
        <v>159</v>
      </c>
      <c r="B40">
        <f t="shared" ref="B40:U40" si="3">B29*$B36+B30*$B37</f>
        <v>15</v>
      </c>
      <c r="C40">
        <f t="shared" si="3"/>
        <v>16.799999999999997</v>
      </c>
      <c r="D40">
        <f t="shared" si="3"/>
        <v>18.599999999999998</v>
      </c>
      <c r="E40">
        <f t="shared" si="3"/>
        <v>20.400000000000002</v>
      </c>
      <c r="F40">
        <f t="shared" si="3"/>
        <v>22.200000000000003</v>
      </c>
      <c r="G40">
        <f t="shared" si="3"/>
        <v>24</v>
      </c>
      <c r="H40">
        <f t="shared" si="3"/>
        <v>24</v>
      </c>
      <c r="I40">
        <f t="shared" si="3"/>
        <v>24</v>
      </c>
      <c r="J40">
        <f t="shared" si="3"/>
        <v>24</v>
      </c>
      <c r="K40">
        <f t="shared" si="3"/>
        <v>24</v>
      </c>
      <c r="L40">
        <f t="shared" si="3"/>
        <v>24</v>
      </c>
      <c r="M40">
        <f t="shared" si="3"/>
        <v>24</v>
      </c>
      <c r="N40">
        <f t="shared" si="3"/>
        <v>24</v>
      </c>
      <c r="O40">
        <f t="shared" si="3"/>
        <v>24</v>
      </c>
      <c r="P40">
        <f t="shared" si="3"/>
        <v>24</v>
      </c>
      <c r="Q40">
        <f t="shared" si="3"/>
        <v>24</v>
      </c>
      <c r="R40">
        <f t="shared" si="3"/>
        <v>24</v>
      </c>
      <c r="S40">
        <f t="shared" si="3"/>
        <v>24</v>
      </c>
      <c r="T40">
        <f t="shared" si="3"/>
        <v>24</v>
      </c>
      <c r="U40">
        <f t="shared" si="3"/>
        <v>24</v>
      </c>
    </row>
    <row r="41" spans="1:21" x14ac:dyDescent="0.25">
      <c r="A41" s="5"/>
    </row>
    <row r="42" spans="1:21" x14ac:dyDescent="0.25">
      <c r="A42" s="78" t="s">
        <v>129</v>
      </c>
      <c r="B42" s="8"/>
    </row>
    <row r="43" spans="1:21" x14ac:dyDescent="0.25">
      <c r="A43" s="5" t="s">
        <v>162</v>
      </c>
    </row>
    <row r="44" spans="1:21" x14ac:dyDescent="0.25">
      <c r="B44" s="5" t="s">
        <v>23</v>
      </c>
      <c r="G44" s="37"/>
      <c r="H44" s="45"/>
    </row>
    <row r="45" spans="1:21" s="5" customFormat="1" x14ac:dyDescent="0.25">
      <c r="A45" s="5" t="s">
        <v>1</v>
      </c>
      <c r="B45" s="5">
        <v>1</v>
      </c>
      <c r="C45" s="5">
        <v>2</v>
      </c>
      <c r="D45" s="5">
        <v>3</v>
      </c>
      <c r="E45" s="5">
        <v>4</v>
      </c>
      <c r="F45" s="5">
        <v>5</v>
      </c>
      <c r="G45" s="5">
        <v>6</v>
      </c>
      <c r="H45" s="5">
        <v>7</v>
      </c>
      <c r="I45" s="5">
        <v>8</v>
      </c>
      <c r="J45" s="5">
        <v>9</v>
      </c>
      <c r="K45" s="5">
        <v>10</v>
      </c>
      <c r="L45" s="5">
        <v>11</v>
      </c>
      <c r="M45" s="5">
        <v>12</v>
      </c>
      <c r="N45" s="5">
        <v>13</v>
      </c>
      <c r="O45" s="5">
        <v>14</v>
      </c>
      <c r="P45" s="5">
        <v>15</v>
      </c>
      <c r="Q45" s="5">
        <v>16</v>
      </c>
      <c r="R45" s="5">
        <v>17</v>
      </c>
      <c r="S45" s="5">
        <v>18</v>
      </c>
      <c r="T45" s="5">
        <v>19</v>
      </c>
      <c r="U45" s="5">
        <v>20</v>
      </c>
    </row>
    <row r="46" spans="1:21" x14ac:dyDescent="0.25">
      <c r="A46" s="5" t="s">
        <v>57</v>
      </c>
      <c r="B46" s="4">
        <f>50%</f>
        <v>0.5</v>
      </c>
      <c r="C46" s="4">
        <v>0.25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</row>
    <row r="47" spans="1:21" x14ac:dyDescent="0.25">
      <c r="A47" s="5" t="s">
        <v>58</v>
      </c>
      <c r="B47" s="24">
        <f>1-B46</f>
        <v>0.5</v>
      </c>
      <c r="C47" s="24">
        <f t="shared" ref="C47:U47" si="4">1-C46</f>
        <v>0.75</v>
      </c>
      <c r="D47" s="24">
        <f t="shared" si="4"/>
        <v>1</v>
      </c>
      <c r="E47" s="24">
        <f t="shared" si="4"/>
        <v>1</v>
      </c>
      <c r="F47" s="24">
        <f t="shared" si="4"/>
        <v>1</v>
      </c>
      <c r="G47" s="24">
        <f t="shared" si="4"/>
        <v>1</v>
      </c>
      <c r="H47" s="24">
        <f t="shared" si="4"/>
        <v>1</v>
      </c>
      <c r="I47" s="24">
        <f t="shared" si="4"/>
        <v>1</v>
      </c>
      <c r="J47" s="24">
        <f t="shared" si="4"/>
        <v>1</v>
      </c>
      <c r="K47" s="24">
        <f t="shared" si="4"/>
        <v>1</v>
      </c>
      <c r="L47" s="24">
        <f t="shared" si="4"/>
        <v>1</v>
      </c>
      <c r="M47" s="24">
        <f t="shared" si="4"/>
        <v>1</v>
      </c>
      <c r="N47" s="24">
        <f t="shared" si="4"/>
        <v>1</v>
      </c>
      <c r="O47" s="24">
        <f t="shared" si="4"/>
        <v>1</v>
      </c>
      <c r="P47" s="24">
        <f t="shared" si="4"/>
        <v>1</v>
      </c>
      <c r="Q47" s="24">
        <f t="shared" si="4"/>
        <v>1</v>
      </c>
      <c r="R47" s="24">
        <f t="shared" si="4"/>
        <v>1</v>
      </c>
      <c r="S47" s="24">
        <f t="shared" si="4"/>
        <v>1</v>
      </c>
      <c r="T47" s="24">
        <f t="shared" si="4"/>
        <v>1</v>
      </c>
      <c r="U47" s="24">
        <f t="shared" si="4"/>
        <v>1</v>
      </c>
    </row>
    <row r="49" spans="1:21" x14ac:dyDescent="0.25">
      <c r="A49" s="5" t="s">
        <v>46</v>
      </c>
    </row>
    <row r="50" spans="1:21" x14ac:dyDescent="0.25">
      <c r="A50" s="30" t="s">
        <v>47</v>
      </c>
    </row>
    <row r="51" spans="1:21" x14ac:dyDescent="0.25">
      <c r="B51" s="5" t="s">
        <v>25</v>
      </c>
    </row>
    <row r="52" spans="1:21" x14ac:dyDescent="0.25">
      <c r="A52" s="5" t="s">
        <v>59</v>
      </c>
      <c r="B52" s="5" t="s">
        <v>23</v>
      </c>
    </row>
    <row r="53" spans="1:21" x14ac:dyDescent="0.25">
      <c r="A53" s="5" t="s">
        <v>57</v>
      </c>
      <c r="B53" s="2">
        <v>6</v>
      </c>
    </row>
    <row r="54" spans="1:21" x14ac:dyDescent="0.25">
      <c r="A54" s="5" t="s">
        <v>58</v>
      </c>
      <c r="B54" s="2">
        <v>18</v>
      </c>
    </row>
    <row r="55" spans="1:21" x14ac:dyDescent="0.25">
      <c r="A55" s="5"/>
      <c r="B55" s="8"/>
    </row>
    <row r="56" spans="1:21" x14ac:dyDescent="0.25">
      <c r="A56" s="5" t="s">
        <v>1</v>
      </c>
      <c r="B56" s="5">
        <v>1</v>
      </c>
      <c r="C56" s="5">
        <v>2</v>
      </c>
      <c r="D56" s="5">
        <v>3</v>
      </c>
      <c r="E56" s="5">
        <v>4</v>
      </c>
      <c r="F56" s="5">
        <v>5</v>
      </c>
      <c r="G56" s="5">
        <v>6</v>
      </c>
      <c r="H56" s="5">
        <v>7</v>
      </c>
      <c r="I56" s="5">
        <v>8</v>
      </c>
      <c r="J56" s="5">
        <v>9</v>
      </c>
      <c r="K56" s="5">
        <v>10</v>
      </c>
      <c r="L56" s="5">
        <v>11</v>
      </c>
      <c r="M56" s="5">
        <v>12</v>
      </c>
      <c r="N56" s="5">
        <v>13</v>
      </c>
      <c r="O56" s="5">
        <v>14</v>
      </c>
      <c r="P56" s="5">
        <v>15</v>
      </c>
      <c r="Q56" s="5">
        <v>16</v>
      </c>
      <c r="R56" s="5">
        <v>17</v>
      </c>
      <c r="S56" s="5">
        <v>18</v>
      </c>
      <c r="T56" s="5">
        <v>19</v>
      </c>
      <c r="U56" s="5">
        <v>20</v>
      </c>
    </row>
    <row r="57" spans="1:21" x14ac:dyDescent="0.25">
      <c r="A57" s="5" t="s">
        <v>159</v>
      </c>
      <c r="B57">
        <f t="shared" ref="B57:U57" si="5">B46*$B53+B47*$B54</f>
        <v>12</v>
      </c>
      <c r="C57">
        <f t="shared" si="5"/>
        <v>15</v>
      </c>
      <c r="D57">
        <f t="shared" si="5"/>
        <v>18</v>
      </c>
      <c r="E57">
        <f t="shared" si="5"/>
        <v>18</v>
      </c>
      <c r="F57">
        <f t="shared" si="5"/>
        <v>18</v>
      </c>
      <c r="G57">
        <f t="shared" si="5"/>
        <v>18</v>
      </c>
      <c r="H57">
        <f t="shared" si="5"/>
        <v>18</v>
      </c>
      <c r="I57">
        <f t="shared" si="5"/>
        <v>18</v>
      </c>
      <c r="J57">
        <f t="shared" si="5"/>
        <v>18</v>
      </c>
      <c r="K57">
        <f t="shared" si="5"/>
        <v>18</v>
      </c>
      <c r="L57">
        <f t="shared" si="5"/>
        <v>18</v>
      </c>
      <c r="M57">
        <f t="shared" si="5"/>
        <v>18</v>
      </c>
      <c r="N57">
        <f t="shared" si="5"/>
        <v>18</v>
      </c>
      <c r="O57">
        <f t="shared" si="5"/>
        <v>18</v>
      </c>
      <c r="P57">
        <f t="shared" si="5"/>
        <v>18</v>
      </c>
      <c r="Q57">
        <f t="shared" si="5"/>
        <v>18</v>
      </c>
      <c r="R57">
        <f t="shared" si="5"/>
        <v>18</v>
      </c>
      <c r="S57">
        <f t="shared" si="5"/>
        <v>18</v>
      </c>
      <c r="T57">
        <f t="shared" si="5"/>
        <v>18</v>
      </c>
      <c r="U57">
        <f t="shared" si="5"/>
        <v>18</v>
      </c>
    </row>
    <row r="58" spans="1:21" s="8" customFormat="1" x14ac:dyDescent="0.25">
      <c r="A58" s="19"/>
    </row>
    <row r="59" spans="1:21" s="8" customFormat="1" x14ac:dyDescent="0.25">
      <c r="A59" s="78" t="s">
        <v>130</v>
      </c>
    </row>
    <row r="60" spans="1:21" x14ac:dyDescent="0.25">
      <c r="A60" s="5" t="s">
        <v>163</v>
      </c>
    </row>
    <row r="61" spans="1:21" x14ac:dyDescent="0.25">
      <c r="B61" s="5" t="s">
        <v>23</v>
      </c>
      <c r="G61" s="37"/>
      <c r="H61" s="45"/>
    </row>
    <row r="62" spans="1:21" s="5" customFormat="1" x14ac:dyDescent="0.25">
      <c r="A62" s="5" t="s">
        <v>1</v>
      </c>
      <c r="B62" s="5">
        <v>1</v>
      </c>
      <c r="C62" s="5">
        <v>2</v>
      </c>
      <c r="D62" s="5">
        <v>3</v>
      </c>
      <c r="E62" s="5">
        <v>4</v>
      </c>
      <c r="F62" s="5">
        <v>5</v>
      </c>
      <c r="G62" s="5">
        <v>6</v>
      </c>
      <c r="H62" s="5">
        <v>7</v>
      </c>
      <c r="I62" s="5">
        <v>8</v>
      </c>
      <c r="J62" s="5">
        <v>9</v>
      </c>
      <c r="K62" s="5">
        <v>10</v>
      </c>
      <c r="L62" s="5">
        <v>11</v>
      </c>
      <c r="M62" s="5">
        <v>12</v>
      </c>
      <c r="N62" s="5">
        <v>13</v>
      </c>
      <c r="O62" s="5">
        <v>14</v>
      </c>
      <c r="P62" s="5">
        <v>15</v>
      </c>
      <c r="Q62" s="5">
        <v>16</v>
      </c>
      <c r="R62" s="5">
        <v>17</v>
      </c>
      <c r="S62" s="5">
        <v>18</v>
      </c>
      <c r="T62" s="5">
        <v>19</v>
      </c>
      <c r="U62" s="5">
        <v>20</v>
      </c>
    </row>
    <row r="63" spans="1:21" x14ac:dyDescent="0.25">
      <c r="A63" s="5" t="s">
        <v>57</v>
      </c>
      <c r="B63" s="4">
        <f>50%</f>
        <v>0.5</v>
      </c>
      <c r="C63" s="4">
        <v>0.4</v>
      </c>
      <c r="D63" s="4">
        <v>0.3</v>
      </c>
      <c r="E63" s="4">
        <v>0.2</v>
      </c>
      <c r="F63" s="4">
        <v>0.1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</row>
    <row r="64" spans="1:21" x14ac:dyDescent="0.25">
      <c r="A64" s="5" t="s">
        <v>58</v>
      </c>
      <c r="B64" s="24">
        <f>1-B63</f>
        <v>0.5</v>
      </c>
      <c r="C64" s="24">
        <f t="shared" ref="C64:U64" si="6">1-C63</f>
        <v>0.6</v>
      </c>
      <c r="D64" s="24">
        <f t="shared" si="6"/>
        <v>0.7</v>
      </c>
      <c r="E64" s="24">
        <f t="shared" si="6"/>
        <v>0.8</v>
      </c>
      <c r="F64" s="24">
        <f t="shared" si="6"/>
        <v>0.9</v>
      </c>
      <c r="G64" s="24">
        <f t="shared" si="6"/>
        <v>1</v>
      </c>
      <c r="H64" s="24">
        <f t="shared" si="6"/>
        <v>1</v>
      </c>
      <c r="I64" s="24">
        <f t="shared" si="6"/>
        <v>1</v>
      </c>
      <c r="J64" s="24">
        <f t="shared" si="6"/>
        <v>1</v>
      </c>
      <c r="K64" s="24">
        <f t="shared" si="6"/>
        <v>1</v>
      </c>
      <c r="L64" s="24">
        <f t="shared" si="6"/>
        <v>1</v>
      </c>
      <c r="M64" s="24">
        <f t="shared" si="6"/>
        <v>1</v>
      </c>
      <c r="N64" s="24">
        <f t="shared" si="6"/>
        <v>1</v>
      </c>
      <c r="O64" s="24">
        <f t="shared" si="6"/>
        <v>1</v>
      </c>
      <c r="P64" s="24">
        <f t="shared" si="6"/>
        <v>1</v>
      </c>
      <c r="Q64" s="24">
        <f t="shared" si="6"/>
        <v>1</v>
      </c>
      <c r="R64" s="24">
        <f t="shared" si="6"/>
        <v>1</v>
      </c>
      <c r="S64" s="24">
        <f t="shared" si="6"/>
        <v>1</v>
      </c>
      <c r="T64" s="24">
        <f t="shared" si="6"/>
        <v>1</v>
      </c>
      <c r="U64" s="24">
        <f t="shared" si="6"/>
        <v>1</v>
      </c>
    </row>
    <row r="66" spans="1:21" x14ac:dyDescent="0.25">
      <c r="A66" s="5" t="s">
        <v>46</v>
      </c>
    </row>
    <row r="67" spans="1:21" x14ac:dyDescent="0.25">
      <c r="A67" s="30" t="s">
        <v>47</v>
      </c>
    </row>
    <row r="68" spans="1:21" x14ac:dyDescent="0.25">
      <c r="B68" s="5" t="s">
        <v>25</v>
      </c>
    </row>
    <row r="69" spans="1:21" x14ac:dyDescent="0.25">
      <c r="A69" s="5" t="s">
        <v>59</v>
      </c>
      <c r="B69" s="5" t="s">
        <v>23</v>
      </c>
    </row>
    <row r="70" spans="1:21" x14ac:dyDescent="0.25">
      <c r="A70" s="5" t="s">
        <v>57</v>
      </c>
      <c r="B70" s="2">
        <v>6</v>
      </c>
    </row>
    <row r="71" spans="1:21" x14ac:dyDescent="0.25">
      <c r="A71" s="5" t="s">
        <v>58</v>
      </c>
      <c r="B71" s="2">
        <v>18</v>
      </c>
    </row>
    <row r="72" spans="1:21" x14ac:dyDescent="0.25">
      <c r="A72" s="5"/>
      <c r="B72" s="8"/>
    </row>
    <row r="73" spans="1:21" x14ac:dyDescent="0.25">
      <c r="A73" s="5" t="s">
        <v>1</v>
      </c>
      <c r="B73" s="5">
        <v>1</v>
      </c>
      <c r="C73" s="5">
        <v>2</v>
      </c>
      <c r="D73" s="5">
        <v>3</v>
      </c>
      <c r="E73" s="5">
        <v>4</v>
      </c>
      <c r="F73" s="5">
        <v>5</v>
      </c>
      <c r="G73" s="5">
        <v>6</v>
      </c>
      <c r="H73" s="5">
        <v>7</v>
      </c>
      <c r="I73" s="5">
        <v>8</v>
      </c>
      <c r="J73" s="5">
        <v>9</v>
      </c>
      <c r="K73" s="5">
        <v>10</v>
      </c>
      <c r="L73" s="5">
        <v>11</v>
      </c>
      <c r="M73" s="5">
        <v>12</v>
      </c>
      <c r="N73" s="5">
        <v>13</v>
      </c>
      <c r="O73" s="5">
        <v>14</v>
      </c>
      <c r="P73" s="5">
        <v>15</v>
      </c>
      <c r="Q73" s="5">
        <v>16</v>
      </c>
      <c r="R73" s="5">
        <v>17</v>
      </c>
      <c r="S73" s="5">
        <v>18</v>
      </c>
      <c r="T73" s="5">
        <v>19</v>
      </c>
      <c r="U73" s="5">
        <v>20</v>
      </c>
    </row>
    <row r="74" spans="1:21" x14ac:dyDescent="0.25">
      <c r="A74" s="5" t="s">
        <v>159</v>
      </c>
      <c r="B74">
        <f t="shared" ref="B74:U74" si="7">B63*$B70+B64*$B71</f>
        <v>12</v>
      </c>
      <c r="C74">
        <f t="shared" si="7"/>
        <v>13.2</v>
      </c>
      <c r="D74">
        <f t="shared" si="7"/>
        <v>14.399999999999999</v>
      </c>
      <c r="E74">
        <f t="shared" si="7"/>
        <v>15.600000000000001</v>
      </c>
      <c r="F74">
        <f t="shared" si="7"/>
        <v>16.8</v>
      </c>
      <c r="G74">
        <f t="shared" si="7"/>
        <v>18</v>
      </c>
      <c r="H74">
        <f t="shared" si="7"/>
        <v>18</v>
      </c>
      <c r="I74">
        <f t="shared" si="7"/>
        <v>18</v>
      </c>
      <c r="J74">
        <f t="shared" si="7"/>
        <v>18</v>
      </c>
      <c r="K74">
        <f t="shared" si="7"/>
        <v>18</v>
      </c>
      <c r="L74">
        <f t="shared" si="7"/>
        <v>18</v>
      </c>
      <c r="M74">
        <f t="shared" si="7"/>
        <v>18</v>
      </c>
      <c r="N74">
        <f t="shared" si="7"/>
        <v>18</v>
      </c>
      <c r="O74">
        <f t="shared" si="7"/>
        <v>18</v>
      </c>
      <c r="P74">
        <f t="shared" si="7"/>
        <v>18</v>
      </c>
      <c r="Q74">
        <f t="shared" si="7"/>
        <v>18</v>
      </c>
      <c r="R74">
        <f t="shared" si="7"/>
        <v>18</v>
      </c>
      <c r="S74">
        <f t="shared" si="7"/>
        <v>18</v>
      </c>
      <c r="T74">
        <f t="shared" si="7"/>
        <v>18</v>
      </c>
      <c r="U74">
        <f t="shared" si="7"/>
        <v>18</v>
      </c>
    </row>
    <row r="75" spans="1:21" x14ac:dyDescent="0.25">
      <c r="A75" s="5"/>
      <c r="B75" s="8"/>
    </row>
    <row r="76" spans="1:21" x14ac:dyDescent="0.25">
      <c r="A76" s="78" t="s">
        <v>165</v>
      </c>
      <c r="B76" s="8"/>
    </row>
    <row r="77" spans="1:21" x14ac:dyDescent="0.25">
      <c r="A77" s="5" t="s">
        <v>71</v>
      </c>
      <c r="B77" s="8">
        <f>'Benefits_freq chng_DUML'!B20</f>
        <v>1550</v>
      </c>
    </row>
    <row r="79" spans="1:21" x14ac:dyDescent="0.25">
      <c r="A79" s="5" t="s">
        <v>63</v>
      </c>
      <c r="B79" s="7"/>
    </row>
    <row r="80" spans="1:21" x14ac:dyDescent="0.25">
      <c r="A80" s="5" t="s">
        <v>64</v>
      </c>
      <c r="B80" s="75">
        <f>'Benefits_freq chng_DUML'!B23</f>
        <v>1.3</v>
      </c>
    </row>
    <row r="81" spans="1:21" x14ac:dyDescent="0.25">
      <c r="A81" s="5" t="s">
        <v>65</v>
      </c>
      <c r="B81" s="31">
        <v>1</v>
      </c>
    </row>
    <row r="83" spans="1:21" x14ac:dyDescent="0.25">
      <c r="A83" s="5" t="s">
        <v>66</v>
      </c>
    </row>
    <row r="84" spans="1:21" x14ac:dyDescent="0.25">
      <c r="A84" s="5"/>
      <c r="B84" s="5" t="s">
        <v>44</v>
      </c>
    </row>
    <row r="85" spans="1:21" x14ac:dyDescent="0.25">
      <c r="A85" s="5" t="s">
        <v>57</v>
      </c>
      <c r="B85" s="18">
        <f>($B$77*B80)/($B$12*$B$80+$B$13*$B$81)</f>
        <v>1752.1739130434785</v>
      </c>
    </row>
    <row r="86" spans="1:21" x14ac:dyDescent="0.25">
      <c r="A86" s="5" t="s">
        <v>58</v>
      </c>
      <c r="B86" s="18">
        <f>($B$77*B81)/($B$12*$B$80+$B$13*$B$81)</f>
        <v>1347.8260869565217</v>
      </c>
    </row>
    <row r="88" spans="1:21" x14ac:dyDescent="0.25">
      <c r="A88" s="26" t="s">
        <v>69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 x14ac:dyDescent="0.25">
      <c r="A89" s="26"/>
      <c r="B89" s="26"/>
      <c r="C89" s="26"/>
      <c r="D89" s="26"/>
      <c r="E89" s="26"/>
      <c r="F89" s="26"/>
      <c r="G89" s="26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 x14ac:dyDescent="0.25">
      <c r="A90" s="26" t="s">
        <v>45</v>
      </c>
      <c r="B90" s="26"/>
      <c r="C90" s="26"/>
      <c r="D90" s="26"/>
      <c r="E90" s="26"/>
      <c r="F90" s="26"/>
      <c r="G90" s="26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:21" x14ac:dyDescent="0.25">
      <c r="A91" s="26" t="s">
        <v>1</v>
      </c>
      <c r="B91" s="26">
        <v>1</v>
      </c>
      <c r="C91" s="26">
        <v>2</v>
      </c>
      <c r="D91" s="26">
        <v>3</v>
      </c>
      <c r="E91" s="26">
        <v>4</v>
      </c>
      <c r="F91" s="26">
        <v>5</v>
      </c>
      <c r="G91" s="26">
        <v>6</v>
      </c>
      <c r="H91" s="26">
        <v>7</v>
      </c>
      <c r="I91" s="26">
        <v>8</v>
      </c>
      <c r="J91" s="26">
        <v>9</v>
      </c>
      <c r="K91" s="26">
        <v>10</v>
      </c>
      <c r="L91" s="26">
        <v>11</v>
      </c>
      <c r="M91" s="26">
        <v>12</v>
      </c>
      <c r="N91" s="26">
        <v>13</v>
      </c>
      <c r="O91" s="26">
        <v>14</v>
      </c>
      <c r="P91" s="26">
        <v>15</v>
      </c>
      <c r="Q91" s="26">
        <v>16</v>
      </c>
      <c r="R91" s="26">
        <v>17</v>
      </c>
      <c r="S91" s="26">
        <v>18</v>
      </c>
      <c r="T91" s="26">
        <v>19</v>
      </c>
      <c r="U91" s="26">
        <v>20</v>
      </c>
    </row>
    <row r="92" spans="1:21" x14ac:dyDescent="0.25">
      <c r="A92" s="26" t="s">
        <v>70</v>
      </c>
      <c r="B92" s="40">
        <f>$B$4*$B77/1000</f>
        <v>100.75</v>
      </c>
      <c r="C92" s="40">
        <f t="shared" ref="C92:U92" si="8">$B4*$B77/1000</f>
        <v>100.75</v>
      </c>
      <c r="D92" s="40">
        <f t="shared" si="8"/>
        <v>100.75</v>
      </c>
      <c r="E92" s="40">
        <f t="shared" si="8"/>
        <v>100.75</v>
      </c>
      <c r="F92" s="40">
        <f t="shared" si="8"/>
        <v>100.75</v>
      </c>
      <c r="G92" s="40">
        <f t="shared" si="8"/>
        <v>100.75</v>
      </c>
      <c r="H92" s="40">
        <f t="shared" si="8"/>
        <v>100.75</v>
      </c>
      <c r="I92" s="40">
        <f t="shared" si="8"/>
        <v>100.75</v>
      </c>
      <c r="J92" s="40">
        <f t="shared" si="8"/>
        <v>100.75</v>
      </c>
      <c r="K92" s="40">
        <f t="shared" si="8"/>
        <v>100.75</v>
      </c>
      <c r="L92" s="40">
        <f t="shared" si="8"/>
        <v>100.75</v>
      </c>
      <c r="M92" s="40">
        <f t="shared" si="8"/>
        <v>100.75</v>
      </c>
      <c r="N92" s="40">
        <f t="shared" si="8"/>
        <v>100.75</v>
      </c>
      <c r="O92" s="40">
        <f t="shared" si="8"/>
        <v>100.75</v>
      </c>
      <c r="P92" s="40">
        <f t="shared" si="8"/>
        <v>100.75</v>
      </c>
      <c r="Q92" s="40">
        <f t="shared" si="8"/>
        <v>100.75</v>
      </c>
      <c r="R92" s="40">
        <f t="shared" si="8"/>
        <v>100.75</v>
      </c>
      <c r="S92" s="40">
        <f t="shared" si="8"/>
        <v>100.75</v>
      </c>
      <c r="T92" s="40">
        <f t="shared" si="8"/>
        <v>100.75</v>
      </c>
      <c r="U92" s="40">
        <f t="shared" si="8"/>
        <v>100.75</v>
      </c>
    </row>
    <row r="93" spans="1:21" x14ac:dyDescent="0.25">
      <c r="A93" s="26" t="s">
        <v>160</v>
      </c>
      <c r="B93" s="41">
        <f>($B$4*B$12*$B$85*12/$B$19+$B$4*B$13*$B$86*12/$B$20)/1000</f>
        <v>135.79347826086956</v>
      </c>
      <c r="C93" s="41">
        <f t="shared" ref="C93:U93" si="9">($B4*C12*$B85*12/$B19+$B4*C13*$B86*12/$B20)/1000</f>
        <v>89.798913043478265</v>
      </c>
      <c r="D93" s="41">
        <f t="shared" si="9"/>
        <v>43.804347826086953</v>
      </c>
      <c r="E93" s="41">
        <f t="shared" si="9"/>
        <v>43.804347826086953</v>
      </c>
      <c r="F93" s="41">
        <f t="shared" si="9"/>
        <v>43.804347826086953</v>
      </c>
      <c r="G93" s="41">
        <f t="shared" si="9"/>
        <v>43.804347826086953</v>
      </c>
      <c r="H93" s="41">
        <f t="shared" si="9"/>
        <v>43.804347826086953</v>
      </c>
      <c r="I93" s="41">
        <f t="shared" si="9"/>
        <v>43.804347826086953</v>
      </c>
      <c r="J93" s="41">
        <f t="shared" si="9"/>
        <v>43.804347826086953</v>
      </c>
      <c r="K93" s="41">
        <f t="shared" si="9"/>
        <v>43.804347826086953</v>
      </c>
      <c r="L93" s="41">
        <f t="shared" si="9"/>
        <v>43.804347826086953</v>
      </c>
      <c r="M93" s="41">
        <f t="shared" si="9"/>
        <v>43.804347826086953</v>
      </c>
      <c r="N93" s="41">
        <f t="shared" si="9"/>
        <v>43.804347826086953</v>
      </c>
      <c r="O93" s="41">
        <f t="shared" si="9"/>
        <v>43.804347826086953</v>
      </c>
      <c r="P93" s="41">
        <f t="shared" si="9"/>
        <v>43.804347826086953</v>
      </c>
      <c r="Q93" s="41">
        <f t="shared" si="9"/>
        <v>43.804347826086953</v>
      </c>
      <c r="R93" s="41">
        <f t="shared" si="9"/>
        <v>43.804347826086953</v>
      </c>
      <c r="S93" s="41">
        <f t="shared" si="9"/>
        <v>43.804347826086953</v>
      </c>
      <c r="T93" s="41">
        <f t="shared" si="9"/>
        <v>43.804347826086953</v>
      </c>
      <c r="U93" s="41">
        <f t="shared" si="9"/>
        <v>43.804347826086953</v>
      </c>
    </row>
    <row r="94" spans="1:21" s="8" customFormat="1" x14ac:dyDescent="0.25">
      <c r="A94" s="26" t="s">
        <v>134</v>
      </c>
      <c r="B94" s="41">
        <f>($B$4*B$29*$B$85*12/$B$36+$B$4*B$30*$B$86*12/$B$37)/1000</f>
        <v>135.79347826086956</v>
      </c>
      <c r="C94" s="41">
        <f t="shared" ref="C94:U94" si="10">($B$4*C$29*$B$85*12/$B$36+$B$4*C$30*$B$86*12/$B$37)/1000</f>
        <v>117.39565217391305</v>
      </c>
      <c r="D94" s="41">
        <f t="shared" si="10"/>
        <v>98.997826086956522</v>
      </c>
      <c r="E94" s="41">
        <f t="shared" si="10"/>
        <v>80.599999999999994</v>
      </c>
      <c r="F94" s="41">
        <f t="shared" si="10"/>
        <v>62.202173913043488</v>
      </c>
      <c r="G94" s="41">
        <f t="shared" si="10"/>
        <v>43.804347826086953</v>
      </c>
      <c r="H94" s="41">
        <f t="shared" si="10"/>
        <v>43.804347826086953</v>
      </c>
      <c r="I94" s="41">
        <f t="shared" si="10"/>
        <v>43.804347826086953</v>
      </c>
      <c r="J94" s="41">
        <f t="shared" si="10"/>
        <v>43.804347826086953</v>
      </c>
      <c r="K94" s="41">
        <f t="shared" si="10"/>
        <v>43.804347826086953</v>
      </c>
      <c r="L94" s="41">
        <f t="shared" si="10"/>
        <v>43.804347826086953</v>
      </c>
      <c r="M94" s="41">
        <f t="shared" si="10"/>
        <v>43.804347826086953</v>
      </c>
      <c r="N94" s="41">
        <f t="shared" si="10"/>
        <v>43.804347826086953</v>
      </c>
      <c r="O94" s="41">
        <f t="shared" si="10"/>
        <v>43.804347826086953</v>
      </c>
      <c r="P94" s="41">
        <f t="shared" si="10"/>
        <v>43.804347826086953</v>
      </c>
      <c r="Q94" s="41">
        <f t="shared" si="10"/>
        <v>43.804347826086953</v>
      </c>
      <c r="R94" s="41">
        <f t="shared" si="10"/>
        <v>43.804347826086953</v>
      </c>
      <c r="S94" s="41">
        <f t="shared" si="10"/>
        <v>43.804347826086953</v>
      </c>
      <c r="T94" s="41">
        <f t="shared" si="10"/>
        <v>43.804347826086953</v>
      </c>
      <c r="U94" s="41">
        <f t="shared" si="10"/>
        <v>43.804347826086953</v>
      </c>
    </row>
    <row r="95" spans="1:21" s="8" customFormat="1" x14ac:dyDescent="0.25">
      <c r="A95" s="26" t="s">
        <v>135</v>
      </c>
      <c r="B95" s="41">
        <f>($B$4*B$46*$B$85*12/$B$53+$B$4*B$47*$B$86*12/$B$54)/1000</f>
        <v>143.09420289855072</v>
      </c>
      <c r="C95" s="41">
        <f t="shared" ref="C95:U95" si="11">($B$4*C$46*$B$85*12/$B$53+$B$4*C$47*$B$86*12/$B$54)/1000</f>
        <v>100.75</v>
      </c>
      <c r="D95" s="41">
        <f t="shared" si="11"/>
        <v>58.405797101449274</v>
      </c>
      <c r="E95" s="41">
        <f t="shared" si="11"/>
        <v>58.405797101449274</v>
      </c>
      <c r="F95" s="41">
        <f t="shared" si="11"/>
        <v>58.405797101449274</v>
      </c>
      <c r="G95" s="41">
        <f t="shared" si="11"/>
        <v>58.405797101449274</v>
      </c>
      <c r="H95" s="41">
        <f t="shared" si="11"/>
        <v>58.405797101449274</v>
      </c>
      <c r="I95" s="41">
        <f t="shared" si="11"/>
        <v>58.405797101449274</v>
      </c>
      <c r="J95" s="41">
        <f t="shared" si="11"/>
        <v>58.405797101449274</v>
      </c>
      <c r="K95" s="41">
        <f t="shared" si="11"/>
        <v>58.405797101449274</v>
      </c>
      <c r="L95" s="41">
        <f t="shared" si="11"/>
        <v>58.405797101449274</v>
      </c>
      <c r="M95" s="41">
        <f t="shared" si="11"/>
        <v>58.405797101449274</v>
      </c>
      <c r="N95" s="41">
        <f t="shared" si="11"/>
        <v>58.405797101449274</v>
      </c>
      <c r="O95" s="41">
        <f t="shared" si="11"/>
        <v>58.405797101449274</v>
      </c>
      <c r="P95" s="41">
        <f t="shared" si="11"/>
        <v>58.405797101449274</v>
      </c>
      <c r="Q95" s="41">
        <f t="shared" si="11"/>
        <v>58.405797101449274</v>
      </c>
      <c r="R95" s="41">
        <f t="shared" si="11"/>
        <v>58.405797101449274</v>
      </c>
      <c r="S95" s="41">
        <f t="shared" si="11"/>
        <v>58.405797101449274</v>
      </c>
      <c r="T95" s="41">
        <f t="shared" si="11"/>
        <v>58.405797101449274</v>
      </c>
      <c r="U95" s="41">
        <f t="shared" si="11"/>
        <v>58.405797101449274</v>
      </c>
    </row>
    <row r="96" spans="1:21" s="8" customFormat="1" x14ac:dyDescent="0.25">
      <c r="A96" s="26" t="s">
        <v>166</v>
      </c>
      <c r="B96" s="41">
        <f>($B$4*B$63*$B$85*12/$B$70+$B$4*B$64*$B$86*12/$B$71)/1000</f>
        <v>143.09420289855072</v>
      </c>
      <c r="C96" s="41">
        <f t="shared" ref="C96:U96" si="12">($B$4*C$63*$B$85*12/$B$70+$B$4*C$64*$B$86*12/$B$71)/1000</f>
        <v>126.15652173913044</v>
      </c>
      <c r="D96" s="41">
        <f t="shared" si="12"/>
        <v>109.21884057971016</v>
      </c>
      <c r="E96" s="41">
        <f t="shared" si="12"/>
        <v>92.281159420289853</v>
      </c>
      <c r="F96" s="41">
        <f t="shared" si="12"/>
        <v>75.343478260869574</v>
      </c>
      <c r="G96" s="41">
        <f t="shared" si="12"/>
        <v>58.405797101449274</v>
      </c>
      <c r="H96" s="41">
        <f t="shared" si="12"/>
        <v>58.405797101449274</v>
      </c>
      <c r="I96" s="41">
        <f t="shared" si="12"/>
        <v>58.405797101449274</v>
      </c>
      <c r="J96" s="41">
        <f t="shared" si="12"/>
        <v>58.405797101449274</v>
      </c>
      <c r="K96" s="41">
        <f t="shared" si="12"/>
        <v>58.405797101449274</v>
      </c>
      <c r="L96" s="41">
        <f t="shared" si="12"/>
        <v>58.405797101449274</v>
      </c>
      <c r="M96" s="41">
        <f t="shared" si="12"/>
        <v>58.405797101449274</v>
      </c>
      <c r="N96" s="41">
        <f t="shared" si="12"/>
        <v>58.405797101449274</v>
      </c>
      <c r="O96" s="41">
        <f t="shared" si="12"/>
        <v>58.405797101449274</v>
      </c>
      <c r="P96" s="41">
        <f t="shared" si="12"/>
        <v>58.405797101449274</v>
      </c>
      <c r="Q96" s="41">
        <f t="shared" si="12"/>
        <v>58.405797101449274</v>
      </c>
      <c r="R96" s="41">
        <f t="shared" si="12"/>
        <v>58.405797101449274</v>
      </c>
      <c r="S96" s="41">
        <f t="shared" si="12"/>
        <v>58.405797101449274</v>
      </c>
      <c r="T96" s="41">
        <f t="shared" si="12"/>
        <v>58.405797101449274</v>
      </c>
      <c r="U96" s="41">
        <f t="shared" si="12"/>
        <v>58.405797101449274</v>
      </c>
    </row>
    <row r="97" spans="1:21" x14ac:dyDescent="0.25">
      <c r="A97" s="26"/>
      <c r="B97" s="28"/>
      <c r="C97" s="28"/>
      <c r="D97" s="28"/>
      <c r="E97" s="28"/>
      <c r="F97" s="27"/>
      <c r="G97" s="28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s="8" customFormat="1" x14ac:dyDescent="0.25">
      <c r="A98" s="19"/>
      <c r="B98" s="75"/>
      <c r="C98" s="75"/>
      <c r="D98" s="75"/>
      <c r="E98" s="75"/>
      <c r="G98" s="75"/>
    </row>
    <row r="99" spans="1:21" s="8" customFormat="1" x14ac:dyDescent="0.25">
      <c r="A99" s="26"/>
      <c r="B99" s="145" t="s">
        <v>191</v>
      </c>
      <c r="C99" s="145"/>
      <c r="D99" s="145"/>
      <c r="E99" s="75"/>
      <c r="G99" s="75"/>
    </row>
    <row r="100" spans="1:21" s="8" customFormat="1" x14ac:dyDescent="0.25">
      <c r="A100" s="26"/>
      <c r="B100" s="124" t="s">
        <v>11</v>
      </c>
      <c r="C100" s="124" t="s">
        <v>12</v>
      </c>
      <c r="D100" s="124" t="s">
        <v>13</v>
      </c>
      <c r="E100" s="75"/>
      <c r="G100" s="75"/>
    </row>
    <row r="101" spans="1:21" x14ac:dyDescent="0.25">
      <c r="A101" s="26" t="s">
        <v>167</v>
      </c>
      <c r="B101" s="132" t="s">
        <v>4</v>
      </c>
      <c r="C101" s="132" t="s">
        <v>4</v>
      </c>
      <c r="D101" s="132" t="s">
        <v>4</v>
      </c>
      <c r="E101" s="75"/>
      <c r="F101" s="8"/>
      <c r="G101" s="75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x14ac:dyDescent="0.25">
      <c r="A102" s="26" t="s">
        <v>160</v>
      </c>
      <c r="B102" s="28">
        <f>SUMPRODUCT($B$92:$F$92,'disc rate calcs'!$F$4:$J$4)-SUMPRODUCT($B93:F93,'disc rate calcs'!$F$4:$J$4)</f>
        <v>106.79073217399446</v>
      </c>
      <c r="C102" s="28">
        <f>SUMPRODUCT($B$92:$K$92,'disc rate calcs'!$F$4:$O$4)-SUMPRODUCT($B93:K93,'disc rate calcs'!$F$4:$O$4)</f>
        <v>267.60383921615909</v>
      </c>
      <c r="D102" s="28">
        <f>SUMPRODUCT($B$92:$U$92,'disc rate calcs'!$F$4:$Y$4)-SUMPRODUCT($B93:U93,'disc rate calcs'!$F$4:$Y$4)</f>
        <v>451.53812171244249</v>
      </c>
      <c r="E102" s="91" t="s">
        <v>204</v>
      </c>
      <c r="F102" s="91"/>
      <c r="G102" s="126"/>
      <c r="H102" s="75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x14ac:dyDescent="0.25">
      <c r="A103" s="26" t="s">
        <v>134</v>
      </c>
      <c r="B103" s="28">
        <f>SUMPRODUCT($B$92:$F$92,'disc rate calcs'!$F$4:$J$4)-SUMPRODUCT($B94:F94,'disc rate calcs'!$F$4:$J$4)</f>
        <v>-4.4498212138515782</v>
      </c>
      <c r="C103" s="28">
        <f>SUMPRODUCT($B$92:$K$92,'disc rate calcs'!$F$4:$O$4)-SUMPRODUCT($B94:K94,'disc rate calcs'!$F$4:$O$4)</f>
        <v>156.363285828313</v>
      </c>
      <c r="D103" s="28">
        <f>SUMPRODUCT($B$92:$U$92,'disc rate calcs'!$F$4:$Y$4)-SUMPRODUCT($B94:U94,'disc rate calcs'!$F$4:$Y$4)</f>
        <v>340.29756832459657</v>
      </c>
      <c r="E103" s="75"/>
      <c r="F103" s="75"/>
      <c r="G103" s="126"/>
      <c r="H103" s="75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x14ac:dyDescent="0.25">
      <c r="A104" s="26" t="s">
        <v>135</v>
      </c>
      <c r="B104" s="28">
        <f>SUMPRODUCT($B$92:$F$92,'disc rate calcs'!$F$4:$J$4)-SUMPRODUCT($B95:F95,'disc rate calcs'!$F$4:$J$4)</f>
        <v>56.481765728314826</v>
      </c>
      <c r="C104" s="28">
        <f>SUMPRODUCT($B$92:$K$92,'disc rate calcs'!$F$4:$O$4)-SUMPRODUCT($B95:K95,'disc rate calcs'!$F$4:$O$4)</f>
        <v>176.06074275966807</v>
      </c>
      <c r="D104" s="28">
        <f>SUMPRODUCT($B$92:$U$92,'disc rate calcs'!$F$4:$Y$4)-SUMPRODUCT($B95:U95,'disc rate calcs'!$F$4:$Y$4)</f>
        <v>312.83238871844299</v>
      </c>
      <c r="E104" s="75"/>
      <c r="F104" s="75"/>
      <c r="G104" s="126"/>
      <c r="H104" s="75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x14ac:dyDescent="0.25">
      <c r="A105" s="26" t="s">
        <v>166</v>
      </c>
      <c r="B105" s="28">
        <f>SUMPRODUCT($B$92:$F$92,'disc rate calcs'!$F$4:$J$4)-SUMPRODUCT($B96:F96,'disc rate calcs'!$F$4:$J$4)</f>
        <v>-45.930172311289539</v>
      </c>
      <c r="C105" s="28">
        <f>SUMPRODUCT($B$92:$K$92,'disc rate calcs'!$F$4:$O$4)-SUMPRODUCT($B96:K96,'disc rate calcs'!$F$4:$O$4)</f>
        <v>73.648804720063595</v>
      </c>
      <c r="D105" s="28">
        <f>SUMPRODUCT($B$92:$U$92,'disc rate calcs'!$F$4:$Y$4)-SUMPRODUCT($B96:U96,'disc rate calcs'!$F$4:$Y$4)</f>
        <v>210.42045067883851</v>
      </c>
      <c r="E105" s="75"/>
      <c r="F105" s="75"/>
      <c r="G105" s="126"/>
      <c r="H105" s="75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x14ac:dyDescent="0.25">
      <c r="A106" s="5"/>
      <c r="B106" s="5"/>
      <c r="C106" s="5"/>
      <c r="D106" s="5"/>
      <c r="E106" s="5"/>
      <c r="F106" s="5"/>
      <c r="G106" s="5"/>
    </row>
    <row r="109" spans="1:21" x14ac:dyDescent="0.25">
      <c r="D109" s="31"/>
    </row>
    <row r="110" spans="1:21" x14ac:dyDescent="0.25">
      <c r="D110" s="31"/>
    </row>
    <row r="111" spans="1:21" x14ac:dyDescent="0.25">
      <c r="D111" s="31"/>
    </row>
  </sheetData>
  <mergeCells count="1">
    <mergeCell ref="B99:D99"/>
  </mergeCells>
  <pageMargins left="0.7" right="0.7" top="0.75" bottom="0.75" header="0.3" footer="0.3"/>
  <pageSetup paperSize="8" scale="80" orientation="landscape" horizontalDpi="4294967293" verticalDpi="4294967293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Summary tables</vt:lpstr>
      <vt:lpstr>Costs_general</vt:lpstr>
      <vt:lpstr>Costs_additional audits</vt:lpstr>
      <vt:lpstr>Benefits_freq chng_ex DUML</vt:lpstr>
      <vt:lpstr>Benefits_freq chng_DUML</vt:lpstr>
      <vt:lpstr>Benefits_chngs in hrs per audit</vt:lpstr>
      <vt:lpstr>Benefits_exemption rqst reduct</vt:lpstr>
      <vt:lpstr>Sens Analysis_freq chng_ex DUML</vt:lpstr>
      <vt:lpstr>Sens Analysis_freq chng_DUML</vt:lpstr>
      <vt:lpstr>disc rate calcs</vt:lpstr>
      <vt:lpstr>'Summary tables'!_Ref355173966</vt:lpstr>
      <vt:lpstr>'disc rate calcs'!Print_Area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Hunt</dc:creator>
  <cp:lastModifiedBy>Jonathon Staite</cp:lastModifiedBy>
  <cp:lastPrinted>2015-08-27T01:40:13Z</cp:lastPrinted>
  <dcterms:created xsi:type="dcterms:W3CDTF">2013-04-18T19:45:41Z</dcterms:created>
  <dcterms:modified xsi:type="dcterms:W3CDTF">2015-11-03T21:18:23Z</dcterms:modified>
</cp:coreProperties>
</file>